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ivate\SELECTION\Gammes\Actif\Küschall\Kuschall 2.0\Outil de calcul dimensions HT_calculator\Calculator full version\FR\"/>
    </mc:Choice>
  </mc:AlternateContent>
  <xr:revisionPtr revIDLastSave="0" documentId="13_ncr:1_{152DCFEA-5361-4B03-95DE-323E0B3F4610}" xr6:coauthVersionLast="47" xr6:coauthVersionMax="47" xr10:uidLastSave="{00000000-0000-0000-0000-000000000000}"/>
  <bookViews>
    <workbookView xWindow="-165" yWindow="-165" windowWidth="29130" windowHeight="15930" tabRatio="733" xr2:uid="{863DCC73-5039-4188-AF4A-156D3556520A}"/>
  </bookViews>
  <sheets>
    <sheet name="Compact 2.0" sheetId="2" r:id="rId1"/>
    <sheet name="Values Compact" sheetId="1" state="hidden" r:id="rId2"/>
    <sheet name="Champion 2.0 " sheetId="9" r:id="rId3"/>
    <sheet name="Values Champion" sheetId="8" state="hidden" r:id="rId4"/>
    <sheet name="K-Series 2.0" sheetId="6" r:id="rId5"/>
    <sheet name="The KSL 2.0" sheetId="13" r:id="rId6"/>
    <sheet name="Values K-Series" sheetId="5" state="hidden" r:id="rId7"/>
    <sheet name="KT Champion" sheetId="10" state="hidden" r:id="rId8"/>
    <sheet name="Values KSL" sheetId="12" state="hidden" r:id="rId9"/>
  </sheets>
  <externalReferences>
    <externalReference r:id="rId10"/>
  </externalReferences>
  <definedNames>
    <definedName name="_xlnm._FilterDatabase" localSheetId="0" hidden="1">'Compact 2.0'!$B$4:$G$65</definedName>
    <definedName name="_xlnm._FilterDatabase" localSheetId="7" hidden="1">'KT Champion'!$A$1:$E$241</definedName>
    <definedName name="Nb_Car_Desc_Total">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7" i="13" l="1"/>
  <c r="E37" i="13"/>
  <c r="D37" i="13"/>
  <c r="D35" i="13"/>
  <c r="E48" i="13" s="1"/>
  <c r="D33" i="13"/>
  <c r="E46" i="13" s="1"/>
  <c r="E31" i="13"/>
  <c r="E52" i="13" s="1"/>
  <c r="D31" i="13"/>
  <c r="E47" i="13" s="1"/>
  <c r="E27" i="13"/>
  <c r="D27" i="13"/>
  <c r="D25" i="13"/>
  <c r="D23" i="13"/>
  <c r="D21" i="13"/>
  <c r="D19" i="13"/>
  <c r="G17" i="13"/>
  <c r="E53" i="13" s="1"/>
  <c r="D17" i="13"/>
  <c r="D15" i="13"/>
  <c r="D13" i="13"/>
  <c r="D11" i="13"/>
  <c r="D9" i="13"/>
  <c r="D7" i="13"/>
  <c r="C9" i="13"/>
  <c r="I86" i="12"/>
  <c r="H86" i="12"/>
  <c r="G86" i="12"/>
  <c r="F86" i="12"/>
  <c r="I85" i="12"/>
  <c r="H85" i="12"/>
  <c r="G85" i="12"/>
  <c r="I84" i="12"/>
  <c r="H84" i="12"/>
  <c r="G84" i="12"/>
  <c r="M44" i="12" a="1"/>
  <c r="M44" i="12" s="1"/>
  <c r="G44" i="12"/>
  <c r="M43" i="12" a="1"/>
  <c r="M43" i="12" s="1"/>
  <c r="G43" i="12"/>
  <c r="M42" i="12" a="1"/>
  <c r="M42" i="12" s="1"/>
  <c r="G42" i="12"/>
  <c r="M41" i="12"/>
  <c r="M41" i="12" a="1"/>
  <c r="G41" i="12"/>
  <c r="M40" i="12" a="1"/>
  <c r="M40" i="12" s="1"/>
  <c r="G40" i="12"/>
  <c r="M39" i="12" a="1"/>
  <c r="M39" i="12" s="1"/>
  <c r="G39" i="12"/>
  <c r="M38" i="12" a="1"/>
  <c r="M38" i="12" s="1"/>
  <c r="G38" i="12"/>
  <c r="M37" i="12" a="1"/>
  <c r="M37" i="12" s="1"/>
  <c r="G37" i="12"/>
  <c r="M36" i="12" a="1"/>
  <c r="M36" i="12" s="1"/>
  <c r="G36" i="12"/>
  <c r="C22" i="12"/>
  <c r="C21" i="12"/>
  <c r="C20" i="12"/>
  <c r="C19" i="12"/>
  <c r="C18" i="12"/>
  <c r="E19" i="13" l="1"/>
  <c r="E42" i="13"/>
  <c r="F27" i="13"/>
  <c r="E57" i="13" s="1"/>
  <c r="E17" i="13"/>
  <c r="F17" i="13" s="1"/>
  <c r="D29" i="13" l="1"/>
  <c r="F19" i="13"/>
  <c r="C44" i="13" s="1"/>
  <c r="H19" i="13"/>
  <c r="G19" i="13"/>
  <c r="E9" i="13" s="1" a="1"/>
  <c r="E9" i="13" s="1"/>
  <c r="F9" i="13" s="1" a="1"/>
  <c r="F9" i="13" s="1"/>
  <c r="G9" i="13" s="1"/>
  <c r="H9" i="13" l="1"/>
  <c r="J9" i="13"/>
  <c r="E13" i="13"/>
  <c r="E54" i="13" s="1"/>
  <c r="I9" i="13" l="1"/>
  <c r="E55" i="13" s="1"/>
  <c r="K9" i="13"/>
  <c r="E56" i="13" s="1"/>
  <c r="C40" i="13" l="1"/>
  <c r="G35" i="6" l="1"/>
  <c r="G7" i="2" l="1"/>
  <c r="E7" i="2"/>
  <c r="D7" i="2"/>
  <c r="C7" i="2"/>
  <c r="C25" i="13" l="1"/>
  <c r="C15" i="13"/>
  <c r="C23" i="13"/>
  <c r="C19" i="13"/>
  <c r="C17" i="13"/>
  <c r="C13" i="13"/>
  <c r="C46" i="13" l="1"/>
  <c r="E15" i="13" s="1"/>
  <c r="C29" i="13"/>
  <c r="C27" i="13"/>
  <c r="C21" i="13"/>
  <c r="C76" i="12"/>
  <c r="C75" i="12"/>
  <c r="C74" i="12"/>
  <c r="C73" i="12"/>
  <c r="C42" i="13" l="1"/>
  <c r="C128" i="1"/>
  <c r="C127" i="1"/>
  <c r="C126" i="1"/>
  <c r="C125" i="1"/>
  <c r="C82" i="8"/>
  <c r="C83" i="8"/>
  <c r="C85" i="8"/>
  <c r="C84" i="8"/>
  <c r="C96" i="5"/>
  <c r="C97" i="5"/>
  <c r="C98" i="5"/>
  <c r="C99" i="5"/>
  <c r="D17" i="9"/>
  <c r="D23" i="9"/>
  <c r="D33" i="6" l="1"/>
  <c r="D35" i="6"/>
  <c r="E31" i="6"/>
  <c r="E53" i="6" s="1"/>
  <c r="H11" i="6" l="1"/>
  <c r="O27" i="5"/>
  <c r="O26" i="5"/>
  <c r="K27" i="5"/>
  <c r="K26" i="5"/>
  <c r="K25" i="5"/>
  <c r="AF147" i="5"/>
  <c r="AF128" i="5"/>
  <c r="AR147" i="5"/>
  <c r="AR128" i="5"/>
  <c r="J29" i="5" l="1"/>
  <c r="BF76" i="5"/>
  <c r="F24" i="5"/>
  <c r="AR76" i="5"/>
  <c r="AF95" i="5"/>
  <c r="AF76" i="5"/>
  <c r="AR95" i="5"/>
  <c r="AD76" i="5"/>
  <c r="F11" i="6"/>
  <c r="E11" i="6"/>
  <c r="G11" i="6" s="1"/>
  <c r="C31" i="6"/>
  <c r="C25" i="2" l="1"/>
  <c r="D23" i="6"/>
  <c r="C23" i="6"/>
  <c r="S11" i="6" l="1"/>
  <c r="R11" i="6"/>
  <c r="P11" i="6"/>
  <c r="O11" i="6"/>
  <c r="N11" i="6"/>
  <c r="DH123" i="5"/>
  <c r="DG123" i="5"/>
  <c r="DF123" i="5"/>
  <c r="DE123" i="5"/>
  <c r="DD123" i="5"/>
  <c r="DC123" i="5"/>
  <c r="DB123" i="5"/>
  <c r="DA123" i="5"/>
  <c r="CZ123" i="5"/>
  <c r="DI122" i="5"/>
  <c r="DG122" i="5"/>
  <c r="DE122" i="5"/>
  <c r="DC122" i="5"/>
  <c r="DA122" i="5"/>
  <c r="DI121" i="5"/>
  <c r="DG121" i="5"/>
  <c r="DE121" i="5"/>
  <c r="DC121" i="5"/>
  <c r="DA121" i="5"/>
  <c r="DI120" i="5"/>
  <c r="DG120" i="5"/>
  <c r="DE120" i="5"/>
  <c r="DC120" i="5"/>
  <c r="DA120" i="5"/>
  <c r="DI119" i="5"/>
  <c r="DG119" i="5"/>
  <c r="DE119" i="5"/>
  <c r="DC119" i="5"/>
  <c r="DA119" i="5"/>
  <c r="DI118" i="5"/>
  <c r="DG118" i="5"/>
  <c r="DE118" i="5"/>
  <c r="DC118" i="5"/>
  <c r="DA118" i="5"/>
  <c r="DI117" i="5"/>
  <c r="DG117" i="5"/>
  <c r="DE117" i="5"/>
  <c r="DC117" i="5"/>
  <c r="DA117" i="5"/>
  <c r="DI116" i="5"/>
  <c r="DG116" i="5"/>
  <c r="DE116" i="5"/>
  <c r="DC116" i="5"/>
  <c r="DA116" i="5"/>
  <c r="DI115" i="5"/>
  <c r="DG115" i="5"/>
  <c r="DE115" i="5"/>
  <c r="DC115" i="5"/>
  <c r="DA115" i="5"/>
  <c r="DI114" i="5"/>
  <c r="DG114" i="5"/>
  <c r="DE114" i="5"/>
  <c r="DC114" i="5"/>
  <c r="DA114" i="5"/>
  <c r="DI113" i="5"/>
  <c r="DG113" i="5"/>
  <c r="DE113" i="5"/>
  <c r="DC113" i="5"/>
  <c r="DA113" i="5"/>
  <c r="DI112" i="5"/>
  <c r="DG112" i="5"/>
  <c r="DE112" i="5"/>
  <c r="DC112" i="5"/>
  <c r="DA112" i="5"/>
  <c r="DI111" i="5"/>
  <c r="DG111" i="5"/>
  <c r="DE111" i="5"/>
  <c r="DC111" i="5"/>
  <c r="DA111" i="5"/>
  <c r="DI110" i="5"/>
  <c r="DG110" i="5"/>
  <c r="DE110" i="5"/>
  <c r="DC110" i="5"/>
  <c r="DA110" i="5"/>
  <c r="DI109" i="5"/>
  <c r="DG109" i="5"/>
  <c r="DE109" i="5"/>
  <c r="DC109" i="5"/>
  <c r="DA109" i="5"/>
  <c r="DI108" i="5"/>
  <c r="DG108" i="5"/>
  <c r="DE108" i="5"/>
  <c r="DC108" i="5"/>
  <c r="DA108" i="5"/>
  <c r="DI107" i="5"/>
  <c r="DG107" i="5"/>
  <c r="DE107" i="5"/>
  <c r="DC107" i="5"/>
  <c r="DA107" i="5"/>
  <c r="DI106" i="5"/>
  <c r="DG106" i="5"/>
  <c r="DE106" i="5"/>
  <c r="DC106" i="5"/>
  <c r="DA106" i="5"/>
  <c r="DI105" i="5"/>
  <c r="DG105" i="5"/>
  <c r="DE105" i="5"/>
  <c r="DC105" i="5"/>
  <c r="DA105" i="5"/>
  <c r="DI104" i="5"/>
  <c r="DG104" i="5"/>
  <c r="DE104" i="5"/>
  <c r="DC104" i="5"/>
  <c r="DA104" i="5"/>
  <c r="DI103" i="5"/>
  <c r="DG103" i="5"/>
  <c r="DE103" i="5"/>
  <c r="DC103" i="5"/>
  <c r="DA103" i="5"/>
  <c r="DG101" i="5"/>
  <c r="DE101" i="5"/>
  <c r="DC101" i="5"/>
  <c r="DA101" i="5"/>
  <c r="CE123" i="5"/>
  <c r="CC123" i="5"/>
  <c r="CA123" i="5"/>
  <c r="BY123" i="5"/>
  <c r="CG122" i="5"/>
  <c r="CE122" i="5"/>
  <c r="CC122" i="5"/>
  <c r="CA122" i="5"/>
  <c r="BY122" i="5"/>
  <c r="CG121" i="5"/>
  <c r="CE121" i="5"/>
  <c r="CC121" i="5"/>
  <c r="CA121" i="5"/>
  <c r="BY121" i="5"/>
  <c r="CG120" i="5"/>
  <c r="CE120" i="5"/>
  <c r="CC120" i="5"/>
  <c r="CA120" i="5"/>
  <c r="BY120" i="5"/>
  <c r="CG119" i="5"/>
  <c r="CE119" i="5"/>
  <c r="CC119" i="5"/>
  <c r="CA119" i="5"/>
  <c r="BY119" i="5"/>
  <c r="CG118" i="5"/>
  <c r="CE118" i="5"/>
  <c r="CC118" i="5"/>
  <c r="CA118" i="5"/>
  <c r="BY118" i="5"/>
  <c r="CG117" i="5"/>
  <c r="CE117" i="5"/>
  <c r="CC117" i="5"/>
  <c r="CA117" i="5"/>
  <c r="BY117" i="5"/>
  <c r="CG116" i="5"/>
  <c r="CE116" i="5"/>
  <c r="CC116" i="5"/>
  <c r="CA116" i="5"/>
  <c r="BY116" i="5"/>
  <c r="CG115" i="5"/>
  <c r="CE115" i="5"/>
  <c r="CC115" i="5"/>
  <c r="CA115" i="5"/>
  <c r="BY115" i="5"/>
  <c r="CG114" i="5"/>
  <c r="CE114" i="5"/>
  <c r="CC114" i="5"/>
  <c r="CA114" i="5"/>
  <c r="BY114" i="5"/>
  <c r="CG113" i="5"/>
  <c r="CE113" i="5"/>
  <c r="CC113" i="5"/>
  <c r="CA113" i="5"/>
  <c r="BY113" i="5"/>
  <c r="CG112" i="5"/>
  <c r="CE112" i="5"/>
  <c r="CC112" i="5"/>
  <c r="CA112" i="5"/>
  <c r="BY112" i="5"/>
  <c r="CG111" i="5"/>
  <c r="CE111" i="5"/>
  <c r="CC111" i="5"/>
  <c r="CA111" i="5"/>
  <c r="BY111" i="5"/>
  <c r="CG110" i="5"/>
  <c r="CE110" i="5"/>
  <c r="CC110" i="5"/>
  <c r="CA110" i="5"/>
  <c r="BY110" i="5"/>
  <c r="CG109" i="5"/>
  <c r="CE109" i="5"/>
  <c r="CC109" i="5"/>
  <c r="CA109" i="5"/>
  <c r="BY109" i="5"/>
  <c r="CG108" i="5"/>
  <c r="CE108" i="5"/>
  <c r="CC108" i="5"/>
  <c r="CA108" i="5"/>
  <c r="BY108" i="5"/>
  <c r="CG107" i="5"/>
  <c r="CE107" i="5"/>
  <c r="CC107" i="5"/>
  <c r="CA107" i="5"/>
  <c r="BY107" i="5"/>
  <c r="CG106" i="5"/>
  <c r="CE106" i="5"/>
  <c r="CC106" i="5"/>
  <c r="CA106" i="5"/>
  <c r="BY106" i="5"/>
  <c r="CG105" i="5"/>
  <c r="CE105" i="5"/>
  <c r="CC105" i="5"/>
  <c r="CA105" i="5"/>
  <c r="BY105" i="5"/>
  <c r="CG104" i="5"/>
  <c r="CE104" i="5"/>
  <c r="CC104" i="5"/>
  <c r="CA104" i="5"/>
  <c r="BY104" i="5"/>
  <c r="CG103" i="5"/>
  <c r="CE103" i="5"/>
  <c r="CC103" i="5"/>
  <c r="CA103" i="5"/>
  <c r="BY103" i="5"/>
  <c r="CE101" i="5"/>
  <c r="CC101" i="5"/>
  <c r="CA101" i="5"/>
  <c r="BY101" i="5"/>
  <c r="BQ149" i="5"/>
  <c r="BO149" i="5"/>
  <c r="BM149" i="5"/>
  <c r="BK149" i="5"/>
  <c r="BC149" i="5"/>
  <c r="BA149" i="5"/>
  <c r="AY149" i="5"/>
  <c r="AW149" i="5"/>
  <c r="BS148" i="5"/>
  <c r="BQ148" i="5"/>
  <c r="BO148" i="5"/>
  <c r="BM148" i="5"/>
  <c r="BK148" i="5"/>
  <c r="BE148" i="5"/>
  <c r="BC148" i="5"/>
  <c r="BA148" i="5"/>
  <c r="AY148" i="5"/>
  <c r="AW148" i="5"/>
  <c r="BT147" i="5"/>
  <c r="BS147" i="5"/>
  <c r="BQ147" i="5"/>
  <c r="BO147" i="5"/>
  <c r="BM147" i="5"/>
  <c r="BK147" i="5"/>
  <c r="BF147" i="5"/>
  <c r="BE147" i="5"/>
  <c r="BC147" i="5"/>
  <c r="BA147" i="5"/>
  <c r="AY147" i="5"/>
  <c r="AW147" i="5"/>
  <c r="BS146" i="5"/>
  <c r="BQ146" i="5"/>
  <c r="BO146" i="5"/>
  <c r="BM146" i="5"/>
  <c r="BK146" i="5"/>
  <c r="BE146" i="5"/>
  <c r="BC146" i="5"/>
  <c r="BA146" i="5"/>
  <c r="AY146" i="5"/>
  <c r="AW146" i="5"/>
  <c r="BS145" i="5"/>
  <c r="BQ145" i="5"/>
  <c r="BO145" i="5"/>
  <c r="BM145" i="5"/>
  <c r="BK145" i="5"/>
  <c r="BE145" i="5"/>
  <c r="BC145" i="5"/>
  <c r="BA145" i="5"/>
  <c r="AY145" i="5"/>
  <c r="AW145" i="5"/>
  <c r="BS144" i="5"/>
  <c r="BQ144" i="5"/>
  <c r="BO144" i="5"/>
  <c r="BM144" i="5"/>
  <c r="BK144" i="5"/>
  <c r="BE144" i="5"/>
  <c r="BC144" i="5"/>
  <c r="BA144" i="5"/>
  <c r="AY144" i="5"/>
  <c r="AW144" i="5"/>
  <c r="BS143" i="5"/>
  <c r="BQ143" i="5"/>
  <c r="BO143" i="5"/>
  <c r="BM143" i="5"/>
  <c r="BK143" i="5"/>
  <c r="BE143" i="5"/>
  <c r="BC143" i="5"/>
  <c r="BA143" i="5"/>
  <c r="AY143" i="5"/>
  <c r="AW143" i="5"/>
  <c r="BS142" i="5"/>
  <c r="BQ142" i="5"/>
  <c r="BO142" i="5"/>
  <c r="BM142" i="5"/>
  <c r="BK142" i="5"/>
  <c r="BE142" i="5"/>
  <c r="BC142" i="5"/>
  <c r="BA142" i="5"/>
  <c r="AY142" i="5"/>
  <c r="AW142" i="5"/>
  <c r="BS141" i="5"/>
  <c r="BQ141" i="5"/>
  <c r="BO141" i="5"/>
  <c r="BM141" i="5"/>
  <c r="BK141" i="5"/>
  <c r="BE141" i="5"/>
  <c r="BC141" i="5"/>
  <c r="BA141" i="5"/>
  <c r="AY141" i="5"/>
  <c r="AW141" i="5"/>
  <c r="BS140" i="5"/>
  <c r="BQ140" i="5"/>
  <c r="BO140" i="5"/>
  <c r="BM140" i="5"/>
  <c r="BK140" i="5"/>
  <c r="BE140" i="5"/>
  <c r="BC140" i="5"/>
  <c r="BA140" i="5"/>
  <c r="AY140" i="5"/>
  <c r="AW140" i="5"/>
  <c r="BS139" i="5"/>
  <c r="BQ139" i="5"/>
  <c r="BO139" i="5"/>
  <c r="BM139" i="5"/>
  <c r="BK139" i="5"/>
  <c r="BE139" i="5"/>
  <c r="BC139" i="5"/>
  <c r="BA139" i="5"/>
  <c r="AY139" i="5"/>
  <c r="AW139" i="5"/>
  <c r="BS138" i="5"/>
  <c r="BQ138" i="5"/>
  <c r="BO138" i="5"/>
  <c r="BM138" i="5"/>
  <c r="BK138" i="5"/>
  <c r="BE138" i="5"/>
  <c r="BC138" i="5"/>
  <c r="BA138" i="5"/>
  <c r="AY138" i="5"/>
  <c r="AW138" i="5"/>
  <c r="BS137" i="5"/>
  <c r="BQ137" i="5"/>
  <c r="BO137" i="5"/>
  <c r="BM137" i="5"/>
  <c r="BK137" i="5"/>
  <c r="BE137" i="5"/>
  <c r="BC137" i="5"/>
  <c r="BA137" i="5"/>
  <c r="AY137" i="5"/>
  <c r="AW137" i="5"/>
  <c r="BS136" i="5"/>
  <c r="BQ136" i="5"/>
  <c r="BO136" i="5"/>
  <c r="BM136" i="5"/>
  <c r="BK136" i="5"/>
  <c r="BE136" i="5"/>
  <c r="BC136" i="5"/>
  <c r="BA136" i="5"/>
  <c r="AY136" i="5"/>
  <c r="AW136" i="5"/>
  <c r="BS135" i="5"/>
  <c r="BQ135" i="5"/>
  <c r="BO135" i="5"/>
  <c r="BM135" i="5"/>
  <c r="BK135" i="5"/>
  <c r="BE135" i="5"/>
  <c r="BC135" i="5"/>
  <c r="BA135" i="5"/>
  <c r="AY135" i="5"/>
  <c r="AW135" i="5"/>
  <c r="BS134" i="5"/>
  <c r="BQ134" i="5"/>
  <c r="BO134" i="5"/>
  <c r="BM134" i="5"/>
  <c r="BK134" i="5"/>
  <c r="BE134" i="5"/>
  <c r="BC134" i="5"/>
  <c r="BA134" i="5"/>
  <c r="AY134" i="5"/>
  <c r="AW134" i="5"/>
  <c r="BS133" i="5"/>
  <c r="BQ133" i="5"/>
  <c r="BO133" i="5"/>
  <c r="BM133" i="5"/>
  <c r="BK133" i="5"/>
  <c r="BE133" i="5"/>
  <c r="BC133" i="5"/>
  <c r="BA133" i="5"/>
  <c r="AY133" i="5"/>
  <c r="AW133" i="5"/>
  <c r="BS132" i="5"/>
  <c r="BQ132" i="5"/>
  <c r="BO132" i="5"/>
  <c r="BM132" i="5"/>
  <c r="BK132" i="5"/>
  <c r="BE132" i="5"/>
  <c r="BC132" i="5"/>
  <c r="BA132" i="5"/>
  <c r="AY132" i="5"/>
  <c r="AW132" i="5"/>
  <c r="BS131" i="5"/>
  <c r="BQ131" i="5"/>
  <c r="BO131" i="5"/>
  <c r="BM131" i="5"/>
  <c r="BK131" i="5"/>
  <c r="BE131" i="5"/>
  <c r="BC131" i="5"/>
  <c r="BA131" i="5"/>
  <c r="AY131" i="5"/>
  <c r="AW131" i="5"/>
  <c r="BS130" i="5"/>
  <c r="BQ130" i="5"/>
  <c r="BO130" i="5"/>
  <c r="BM130" i="5"/>
  <c r="BK130" i="5"/>
  <c r="BE130" i="5"/>
  <c r="BC130" i="5"/>
  <c r="BA130" i="5"/>
  <c r="AY130" i="5"/>
  <c r="AW130" i="5"/>
  <c r="BS129" i="5"/>
  <c r="BQ129" i="5"/>
  <c r="BO129" i="5"/>
  <c r="BM129" i="5"/>
  <c r="BK129" i="5"/>
  <c r="BE129" i="5"/>
  <c r="BC129" i="5"/>
  <c r="BA129" i="5"/>
  <c r="AY129" i="5"/>
  <c r="AW129" i="5"/>
  <c r="BT128" i="5"/>
  <c r="BF128" i="5"/>
  <c r="BQ127" i="5"/>
  <c r="BO127" i="5"/>
  <c r="BM127" i="5"/>
  <c r="BK127" i="5"/>
  <c r="BT149" i="5" s="1"/>
  <c r="BT150" i="5" s="1"/>
  <c r="BC127" i="5"/>
  <c r="BA127" i="5"/>
  <c r="AY127" i="5"/>
  <c r="AW127" i="5"/>
  <c r="BQ123" i="5"/>
  <c r="BO123" i="5"/>
  <c r="BM123" i="5"/>
  <c r="BK123" i="5"/>
  <c r="BC123" i="5"/>
  <c r="BA123" i="5"/>
  <c r="AY123" i="5"/>
  <c r="AW123" i="5"/>
  <c r="BS122" i="5"/>
  <c r="BQ122" i="5"/>
  <c r="BO122" i="5"/>
  <c r="BM122" i="5"/>
  <c r="BK122" i="5"/>
  <c r="BE122" i="5"/>
  <c r="BC122" i="5"/>
  <c r="BA122" i="5"/>
  <c r="AY122" i="5"/>
  <c r="AW122" i="5"/>
  <c r="BS121" i="5"/>
  <c r="BQ121" i="5"/>
  <c r="BO121" i="5"/>
  <c r="BM121" i="5"/>
  <c r="BK121" i="5"/>
  <c r="BE121" i="5"/>
  <c r="BC121" i="5"/>
  <c r="BA121" i="5"/>
  <c r="AY121" i="5"/>
  <c r="AW121" i="5"/>
  <c r="BS120" i="5"/>
  <c r="BQ120" i="5"/>
  <c r="BO120" i="5"/>
  <c r="BM120" i="5"/>
  <c r="BK120" i="5"/>
  <c r="BE120" i="5"/>
  <c r="BC120" i="5"/>
  <c r="BA120" i="5"/>
  <c r="AY120" i="5"/>
  <c r="AW120" i="5"/>
  <c r="BS119" i="5"/>
  <c r="BQ119" i="5"/>
  <c r="BO119" i="5"/>
  <c r="BM119" i="5"/>
  <c r="BK119" i="5"/>
  <c r="BE119" i="5"/>
  <c r="BC119" i="5"/>
  <c r="BA119" i="5"/>
  <c r="AY119" i="5"/>
  <c r="AW119" i="5"/>
  <c r="BS118" i="5"/>
  <c r="BQ118" i="5"/>
  <c r="BO118" i="5"/>
  <c r="BM118" i="5"/>
  <c r="BK118" i="5"/>
  <c r="BE118" i="5"/>
  <c r="BC118" i="5"/>
  <c r="BA118" i="5"/>
  <c r="AY118" i="5"/>
  <c r="AW118" i="5"/>
  <c r="BS117" i="5"/>
  <c r="BQ117" i="5"/>
  <c r="BO117" i="5"/>
  <c r="BM117" i="5"/>
  <c r="BK117" i="5"/>
  <c r="BE117" i="5"/>
  <c r="BC117" i="5"/>
  <c r="BA117" i="5"/>
  <c r="AY117" i="5"/>
  <c r="AW117" i="5"/>
  <c r="BS116" i="5"/>
  <c r="BQ116" i="5"/>
  <c r="BO116" i="5"/>
  <c r="BM116" i="5"/>
  <c r="BK116" i="5"/>
  <c r="BE116" i="5"/>
  <c r="BC116" i="5"/>
  <c r="BA116" i="5"/>
  <c r="AY116" i="5"/>
  <c r="AW116" i="5"/>
  <c r="BS115" i="5"/>
  <c r="BQ115" i="5"/>
  <c r="BO115" i="5"/>
  <c r="BM115" i="5"/>
  <c r="BK115" i="5"/>
  <c r="BE115" i="5"/>
  <c r="BC115" i="5"/>
  <c r="BA115" i="5"/>
  <c r="AY115" i="5"/>
  <c r="AW115" i="5"/>
  <c r="BS114" i="5"/>
  <c r="BQ114" i="5"/>
  <c r="BO114" i="5"/>
  <c r="BM114" i="5"/>
  <c r="BK114" i="5"/>
  <c r="BE114" i="5"/>
  <c r="BC114" i="5"/>
  <c r="BA114" i="5"/>
  <c r="AY114" i="5"/>
  <c r="AW114" i="5"/>
  <c r="BS113" i="5"/>
  <c r="BQ113" i="5"/>
  <c r="BO113" i="5"/>
  <c r="BM113" i="5"/>
  <c r="BK113" i="5"/>
  <c r="BE113" i="5"/>
  <c r="BC113" i="5"/>
  <c r="BA113" i="5"/>
  <c r="AY113" i="5"/>
  <c r="AW113" i="5"/>
  <c r="BS112" i="5"/>
  <c r="BQ112" i="5"/>
  <c r="BO112" i="5"/>
  <c r="BM112" i="5"/>
  <c r="BK112" i="5"/>
  <c r="BE112" i="5"/>
  <c r="BC112" i="5"/>
  <c r="BA112" i="5"/>
  <c r="AY112" i="5"/>
  <c r="AW112" i="5"/>
  <c r="BS111" i="5"/>
  <c r="BQ111" i="5"/>
  <c r="BO111" i="5"/>
  <c r="BM111" i="5"/>
  <c r="BK111" i="5"/>
  <c r="BE111" i="5"/>
  <c r="BC111" i="5"/>
  <c r="BA111" i="5"/>
  <c r="AY111" i="5"/>
  <c r="AW111" i="5"/>
  <c r="BS110" i="5"/>
  <c r="BQ110" i="5"/>
  <c r="BO110" i="5"/>
  <c r="BM110" i="5"/>
  <c r="BK110" i="5"/>
  <c r="BE110" i="5"/>
  <c r="BC110" i="5"/>
  <c r="BA110" i="5"/>
  <c r="AY110" i="5"/>
  <c r="AW110" i="5"/>
  <c r="BS109" i="5"/>
  <c r="BQ109" i="5"/>
  <c r="BO109" i="5"/>
  <c r="BM109" i="5"/>
  <c r="BK109" i="5"/>
  <c r="BE109" i="5"/>
  <c r="BC109" i="5"/>
  <c r="BA109" i="5"/>
  <c r="AY109" i="5"/>
  <c r="AW109" i="5"/>
  <c r="BS108" i="5"/>
  <c r="BQ108" i="5"/>
  <c r="BO108" i="5"/>
  <c r="BM108" i="5"/>
  <c r="BK108" i="5"/>
  <c r="BE108" i="5"/>
  <c r="BC108" i="5"/>
  <c r="BA108" i="5"/>
  <c r="AY108" i="5"/>
  <c r="AW108" i="5"/>
  <c r="BS107" i="5"/>
  <c r="BQ107" i="5"/>
  <c r="BO107" i="5"/>
  <c r="BM107" i="5"/>
  <c r="BK107" i="5"/>
  <c r="BE107" i="5"/>
  <c r="BC107" i="5"/>
  <c r="BA107" i="5"/>
  <c r="AY107" i="5"/>
  <c r="AW107" i="5"/>
  <c r="BS106" i="5"/>
  <c r="BQ106" i="5"/>
  <c r="BO106" i="5"/>
  <c r="BM106" i="5"/>
  <c r="BK106" i="5"/>
  <c r="BE106" i="5"/>
  <c r="BC106" i="5"/>
  <c r="BA106" i="5"/>
  <c r="AY106" i="5"/>
  <c r="AW106" i="5"/>
  <c r="BS105" i="5"/>
  <c r="BQ105" i="5"/>
  <c r="BO105" i="5"/>
  <c r="BM105" i="5"/>
  <c r="BK105" i="5"/>
  <c r="BE105" i="5"/>
  <c r="BC105" i="5"/>
  <c r="BA105" i="5"/>
  <c r="AY105" i="5"/>
  <c r="AW105" i="5"/>
  <c r="BS104" i="5"/>
  <c r="BQ104" i="5"/>
  <c r="BO104" i="5"/>
  <c r="BM104" i="5"/>
  <c r="BK104" i="5"/>
  <c r="BE104" i="5"/>
  <c r="BC104" i="5"/>
  <c r="BA104" i="5"/>
  <c r="AY104" i="5"/>
  <c r="AW104" i="5"/>
  <c r="BS103" i="5"/>
  <c r="BQ103" i="5"/>
  <c r="BO103" i="5"/>
  <c r="BM103" i="5"/>
  <c r="BK103" i="5"/>
  <c r="BE103" i="5"/>
  <c r="BC103" i="5"/>
  <c r="BA103" i="5"/>
  <c r="AY103" i="5"/>
  <c r="AW103" i="5"/>
  <c r="BQ101" i="5"/>
  <c r="BO101" i="5"/>
  <c r="BM101" i="5"/>
  <c r="BK101" i="5"/>
  <c r="BC101" i="5"/>
  <c r="BA101" i="5"/>
  <c r="AY101" i="5"/>
  <c r="AW101" i="5"/>
  <c r="R147" i="5"/>
  <c r="R128" i="5"/>
  <c r="AD128" i="5"/>
  <c r="U122" i="5"/>
  <c r="AO149" i="5"/>
  <c r="AM149" i="5"/>
  <c r="AK149" i="5"/>
  <c r="AI149" i="5"/>
  <c r="AA149" i="5"/>
  <c r="Y149" i="5"/>
  <c r="W149" i="5"/>
  <c r="U149" i="5"/>
  <c r="AQ148" i="5"/>
  <c r="AO148" i="5"/>
  <c r="AM148" i="5"/>
  <c r="AK148" i="5"/>
  <c r="AI148" i="5"/>
  <c r="AC148" i="5"/>
  <c r="AA148" i="5"/>
  <c r="Y148" i="5"/>
  <c r="W148" i="5"/>
  <c r="U148" i="5"/>
  <c r="AQ147" i="5"/>
  <c r="AO147" i="5"/>
  <c r="AM147" i="5"/>
  <c r="AK147" i="5"/>
  <c r="AI147" i="5"/>
  <c r="AD147" i="5"/>
  <c r="AC147" i="5"/>
  <c r="AA147" i="5"/>
  <c r="Y147" i="5"/>
  <c r="W147" i="5"/>
  <c r="U147" i="5"/>
  <c r="AQ146" i="5"/>
  <c r="AO146" i="5"/>
  <c r="AM146" i="5"/>
  <c r="AK146" i="5"/>
  <c r="AI146" i="5"/>
  <c r="AC146" i="5"/>
  <c r="AA146" i="5"/>
  <c r="Y146" i="5"/>
  <c r="W146" i="5"/>
  <c r="U146" i="5"/>
  <c r="AQ145" i="5"/>
  <c r="AO145" i="5"/>
  <c r="AM145" i="5"/>
  <c r="AK145" i="5"/>
  <c r="AI145" i="5"/>
  <c r="AC145" i="5"/>
  <c r="AA145" i="5"/>
  <c r="Y145" i="5"/>
  <c r="W145" i="5"/>
  <c r="U145" i="5"/>
  <c r="AQ144" i="5"/>
  <c r="AO144" i="5"/>
  <c r="AM144" i="5"/>
  <c r="AK144" i="5"/>
  <c r="AI144" i="5"/>
  <c r="AC144" i="5"/>
  <c r="AA144" i="5"/>
  <c r="Y144" i="5"/>
  <c r="W144" i="5"/>
  <c r="U144" i="5"/>
  <c r="AQ143" i="5"/>
  <c r="AO143" i="5"/>
  <c r="AM143" i="5"/>
  <c r="AK143" i="5"/>
  <c r="AI143" i="5"/>
  <c r="AC143" i="5"/>
  <c r="AA143" i="5"/>
  <c r="Y143" i="5"/>
  <c r="W143" i="5"/>
  <c r="U143" i="5"/>
  <c r="AQ142" i="5"/>
  <c r="AO142" i="5"/>
  <c r="AM142" i="5"/>
  <c r="AK142" i="5"/>
  <c r="AI142" i="5"/>
  <c r="AC142" i="5"/>
  <c r="AA142" i="5"/>
  <c r="Y142" i="5"/>
  <c r="W142" i="5"/>
  <c r="U142" i="5"/>
  <c r="AQ141" i="5"/>
  <c r="AO141" i="5"/>
  <c r="AM141" i="5"/>
  <c r="AK141" i="5"/>
  <c r="AI141" i="5"/>
  <c r="AC141" i="5"/>
  <c r="AA141" i="5"/>
  <c r="Y141" i="5"/>
  <c r="W141" i="5"/>
  <c r="U141" i="5"/>
  <c r="AQ140" i="5"/>
  <c r="AO140" i="5"/>
  <c r="AM140" i="5"/>
  <c r="AK140" i="5"/>
  <c r="AI140" i="5"/>
  <c r="AC140" i="5"/>
  <c r="AA140" i="5"/>
  <c r="Y140" i="5"/>
  <c r="W140" i="5"/>
  <c r="U140" i="5"/>
  <c r="AQ139" i="5"/>
  <c r="AO139" i="5"/>
  <c r="AM139" i="5"/>
  <c r="AK139" i="5"/>
  <c r="AI139" i="5"/>
  <c r="AC139" i="5"/>
  <c r="AA139" i="5"/>
  <c r="Y139" i="5"/>
  <c r="W139" i="5"/>
  <c r="U139" i="5"/>
  <c r="AQ138" i="5"/>
  <c r="AO138" i="5"/>
  <c r="AM138" i="5"/>
  <c r="AK138" i="5"/>
  <c r="AI138" i="5"/>
  <c r="AC138" i="5"/>
  <c r="AA138" i="5"/>
  <c r="Y138" i="5"/>
  <c r="W138" i="5"/>
  <c r="U138" i="5"/>
  <c r="AQ137" i="5"/>
  <c r="AO137" i="5"/>
  <c r="AM137" i="5"/>
  <c r="AK137" i="5"/>
  <c r="AI137" i="5"/>
  <c r="AC137" i="5"/>
  <c r="AA137" i="5"/>
  <c r="Y137" i="5"/>
  <c r="W137" i="5"/>
  <c r="U137" i="5"/>
  <c r="AQ136" i="5"/>
  <c r="AO136" i="5"/>
  <c r="AM136" i="5"/>
  <c r="AK136" i="5"/>
  <c r="AI136" i="5"/>
  <c r="AC136" i="5"/>
  <c r="AA136" i="5"/>
  <c r="Y136" i="5"/>
  <c r="W136" i="5"/>
  <c r="U136" i="5"/>
  <c r="AQ135" i="5"/>
  <c r="AO135" i="5"/>
  <c r="AM135" i="5"/>
  <c r="AK135" i="5"/>
  <c r="AI135" i="5"/>
  <c r="AC135" i="5"/>
  <c r="AA135" i="5"/>
  <c r="Y135" i="5"/>
  <c r="W135" i="5"/>
  <c r="U135" i="5"/>
  <c r="AQ134" i="5"/>
  <c r="AO134" i="5"/>
  <c r="AM134" i="5"/>
  <c r="AK134" i="5"/>
  <c r="AI134" i="5"/>
  <c r="AC134" i="5"/>
  <c r="AA134" i="5"/>
  <c r="Y134" i="5"/>
  <c r="W134" i="5"/>
  <c r="U134" i="5"/>
  <c r="AQ133" i="5"/>
  <c r="AO133" i="5"/>
  <c r="AM133" i="5"/>
  <c r="AK133" i="5"/>
  <c r="AI133" i="5"/>
  <c r="AC133" i="5"/>
  <c r="AA133" i="5"/>
  <c r="Y133" i="5"/>
  <c r="W133" i="5"/>
  <c r="U133" i="5"/>
  <c r="AQ132" i="5"/>
  <c r="AO132" i="5"/>
  <c r="AM132" i="5"/>
  <c r="AK132" i="5"/>
  <c r="AI132" i="5"/>
  <c r="AC132" i="5"/>
  <c r="AA132" i="5"/>
  <c r="Y132" i="5"/>
  <c r="W132" i="5"/>
  <c r="U132" i="5"/>
  <c r="AQ131" i="5"/>
  <c r="AO131" i="5"/>
  <c r="AM131" i="5"/>
  <c r="AK131" i="5"/>
  <c r="AI131" i="5"/>
  <c r="AC131" i="5"/>
  <c r="AA131" i="5"/>
  <c r="Y131" i="5"/>
  <c r="W131" i="5"/>
  <c r="U131" i="5"/>
  <c r="AQ130" i="5"/>
  <c r="AO130" i="5"/>
  <c r="AM130" i="5"/>
  <c r="AK130" i="5"/>
  <c r="AI130" i="5"/>
  <c r="AC130" i="5"/>
  <c r="AA130" i="5"/>
  <c r="Y130" i="5"/>
  <c r="W130" i="5"/>
  <c r="U130" i="5"/>
  <c r="AQ129" i="5"/>
  <c r="AO129" i="5"/>
  <c r="AM129" i="5"/>
  <c r="AK129" i="5"/>
  <c r="AI129" i="5"/>
  <c r="AC129" i="5"/>
  <c r="AA129" i="5"/>
  <c r="Y129" i="5"/>
  <c r="W129" i="5"/>
  <c r="U129" i="5"/>
  <c r="AO127" i="5"/>
  <c r="AM127" i="5"/>
  <c r="AK127" i="5"/>
  <c r="AI127" i="5"/>
  <c r="AA127" i="5"/>
  <c r="Y127" i="5"/>
  <c r="W127" i="5"/>
  <c r="U127" i="5"/>
  <c r="AO123" i="5"/>
  <c r="AM123" i="5"/>
  <c r="AK123" i="5"/>
  <c r="AI123" i="5"/>
  <c r="AA123" i="5"/>
  <c r="Y123" i="5"/>
  <c r="W123" i="5"/>
  <c r="U123" i="5"/>
  <c r="AQ122" i="5"/>
  <c r="AO122" i="5"/>
  <c r="AM122" i="5"/>
  <c r="AK122" i="5"/>
  <c r="AI122" i="5"/>
  <c r="AC122" i="5"/>
  <c r="AA122" i="5"/>
  <c r="Y122" i="5"/>
  <c r="W122" i="5"/>
  <c r="AQ121" i="5"/>
  <c r="AO121" i="5"/>
  <c r="AM121" i="5"/>
  <c r="AK121" i="5"/>
  <c r="AI121" i="5"/>
  <c r="AC121" i="5"/>
  <c r="AA121" i="5"/>
  <c r="Y121" i="5"/>
  <c r="W121" i="5"/>
  <c r="U121" i="5"/>
  <c r="AQ120" i="5"/>
  <c r="AO120" i="5"/>
  <c r="AM120" i="5"/>
  <c r="AK120" i="5"/>
  <c r="AI120" i="5"/>
  <c r="AC120" i="5"/>
  <c r="AA120" i="5"/>
  <c r="Y120" i="5"/>
  <c r="W120" i="5"/>
  <c r="U120" i="5"/>
  <c r="AQ119" i="5"/>
  <c r="AO119" i="5"/>
  <c r="AM119" i="5"/>
  <c r="AK119" i="5"/>
  <c r="AI119" i="5"/>
  <c r="AC119" i="5"/>
  <c r="AA119" i="5"/>
  <c r="Y119" i="5"/>
  <c r="W119" i="5"/>
  <c r="U119" i="5"/>
  <c r="AQ118" i="5"/>
  <c r="AO118" i="5"/>
  <c r="AM118" i="5"/>
  <c r="AK118" i="5"/>
  <c r="AI118" i="5"/>
  <c r="AC118" i="5"/>
  <c r="AA118" i="5"/>
  <c r="Y118" i="5"/>
  <c r="W118" i="5"/>
  <c r="U118" i="5"/>
  <c r="AQ117" i="5"/>
  <c r="AO117" i="5"/>
  <c r="AM117" i="5"/>
  <c r="AK117" i="5"/>
  <c r="AI117" i="5"/>
  <c r="AC117" i="5"/>
  <c r="AA117" i="5"/>
  <c r="Y117" i="5"/>
  <c r="W117" i="5"/>
  <c r="U117" i="5"/>
  <c r="AQ116" i="5"/>
  <c r="AO116" i="5"/>
  <c r="AM116" i="5"/>
  <c r="AK116" i="5"/>
  <c r="AI116" i="5"/>
  <c r="AC116" i="5"/>
  <c r="AA116" i="5"/>
  <c r="Y116" i="5"/>
  <c r="W116" i="5"/>
  <c r="U116" i="5"/>
  <c r="AQ115" i="5"/>
  <c r="AO115" i="5"/>
  <c r="AM115" i="5"/>
  <c r="AK115" i="5"/>
  <c r="AI115" i="5"/>
  <c r="AC115" i="5"/>
  <c r="AA115" i="5"/>
  <c r="Y115" i="5"/>
  <c r="W115" i="5"/>
  <c r="U115" i="5"/>
  <c r="AQ114" i="5"/>
  <c r="AO114" i="5"/>
  <c r="AM114" i="5"/>
  <c r="AK114" i="5"/>
  <c r="AI114" i="5"/>
  <c r="AC114" i="5"/>
  <c r="AA114" i="5"/>
  <c r="Y114" i="5"/>
  <c r="W114" i="5"/>
  <c r="U114" i="5"/>
  <c r="AQ113" i="5"/>
  <c r="AO113" i="5"/>
  <c r="AM113" i="5"/>
  <c r="AK113" i="5"/>
  <c r="AI113" i="5"/>
  <c r="AC113" i="5"/>
  <c r="AA113" i="5"/>
  <c r="Y113" i="5"/>
  <c r="W113" i="5"/>
  <c r="U113" i="5"/>
  <c r="AQ112" i="5"/>
  <c r="AO112" i="5"/>
  <c r="AM112" i="5"/>
  <c r="AK112" i="5"/>
  <c r="AI112" i="5"/>
  <c r="AC112" i="5"/>
  <c r="AA112" i="5"/>
  <c r="Y112" i="5"/>
  <c r="W112" i="5"/>
  <c r="U112" i="5"/>
  <c r="AQ111" i="5"/>
  <c r="AO111" i="5"/>
  <c r="AM111" i="5"/>
  <c r="AK111" i="5"/>
  <c r="AI111" i="5"/>
  <c r="AC111" i="5"/>
  <c r="AA111" i="5"/>
  <c r="Y111" i="5"/>
  <c r="W111" i="5"/>
  <c r="U111" i="5"/>
  <c r="AQ110" i="5"/>
  <c r="AO110" i="5"/>
  <c r="AM110" i="5"/>
  <c r="AK110" i="5"/>
  <c r="AI110" i="5"/>
  <c r="AC110" i="5"/>
  <c r="AA110" i="5"/>
  <c r="Y110" i="5"/>
  <c r="W110" i="5"/>
  <c r="U110" i="5"/>
  <c r="AQ109" i="5"/>
  <c r="AO109" i="5"/>
  <c r="AM109" i="5"/>
  <c r="AK109" i="5"/>
  <c r="AI109" i="5"/>
  <c r="AC109" i="5"/>
  <c r="AA109" i="5"/>
  <c r="Y109" i="5"/>
  <c r="W109" i="5"/>
  <c r="U109" i="5"/>
  <c r="AQ108" i="5"/>
  <c r="AO108" i="5"/>
  <c r="AM108" i="5"/>
  <c r="AK108" i="5"/>
  <c r="AI108" i="5"/>
  <c r="AC108" i="5"/>
  <c r="AA108" i="5"/>
  <c r="Y108" i="5"/>
  <c r="W108" i="5"/>
  <c r="U108" i="5"/>
  <c r="AQ107" i="5"/>
  <c r="AO107" i="5"/>
  <c r="AM107" i="5"/>
  <c r="AK107" i="5"/>
  <c r="AI107" i="5"/>
  <c r="AC107" i="5"/>
  <c r="AA107" i="5"/>
  <c r="Y107" i="5"/>
  <c r="W107" i="5"/>
  <c r="U107" i="5"/>
  <c r="AQ106" i="5"/>
  <c r="AO106" i="5"/>
  <c r="AM106" i="5"/>
  <c r="AK106" i="5"/>
  <c r="AI106" i="5"/>
  <c r="AC106" i="5"/>
  <c r="AA106" i="5"/>
  <c r="Y106" i="5"/>
  <c r="W106" i="5"/>
  <c r="U106" i="5"/>
  <c r="AQ105" i="5"/>
  <c r="AO105" i="5"/>
  <c r="AM105" i="5"/>
  <c r="AK105" i="5"/>
  <c r="AI105" i="5"/>
  <c r="AC105" i="5"/>
  <c r="AA105" i="5"/>
  <c r="Y105" i="5"/>
  <c r="W105" i="5"/>
  <c r="U105" i="5"/>
  <c r="AQ104" i="5"/>
  <c r="AO104" i="5"/>
  <c r="AM104" i="5"/>
  <c r="AK104" i="5"/>
  <c r="AI104" i="5"/>
  <c r="AC104" i="5"/>
  <c r="AA104" i="5"/>
  <c r="Y104" i="5"/>
  <c r="W104" i="5"/>
  <c r="U104" i="5"/>
  <c r="AQ103" i="5"/>
  <c r="AO103" i="5"/>
  <c r="AM103" i="5"/>
  <c r="AK103" i="5"/>
  <c r="AI103" i="5"/>
  <c r="AC103" i="5"/>
  <c r="AA103" i="5"/>
  <c r="Y103" i="5"/>
  <c r="W103" i="5"/>
  <c r="U103" i="5"/>
  <c r="AO101" i="5"/>
  <c r="AM101" i="5"/>
  <c r="AK101" i="5"/>
  <c r="AI101" i="5"/>
  <c r="AA101" i="5"/>
  <c r="Y101" i="5"/>
  <c r="W101" i="5"/>
  <c r="U101" i="5"/>
  <c r="D9" i="6"/>
  <c r="D27" i="6"/>
  <c r="I41" i="6" s="1"/>
  <c r="C27" i="6"/>
  <c r="BT148" i="5" l="1"/>
  <c r="DJ122" i="5"/>
  <c r="M30" i="5" s="1"/>
  <c r="DJ123" i="5"/>
  <c r="DJ124" i="5" s="1"/>
  <c r="CH122" i="5"/>
  <c r="M26" i="5" s="1"/>
  <c r="CH123" i="5"/>
  <c r="CH124" i="5" s="1"/>
  <c r="P26" i="5" s="1"/>
  <c r="BT123" i="5"/>
  <c r="BT124" i="5" s="1"/>
  <c r="Q28" i="5" s="1"/>
  <c r="BF122" i="5"/>
  <c r="N24" i="5" s="1"/>
  <c r="BF123" i="5"/>
  <c r="BF124" i="5" s="1"/>
  <c r="Q24" i="5" s="1"/>
  <c r="BT122" i="5"/>
  <c r="N28" i="5" s="1"/>
  <c r="BF149" i="5"/>
  <c r="BF150" i="5" s="1"/>
  <c r="BF148" i="5"/>
  <c r="AR123" i="5"/>
  <c r="AR124" i="5" s="1"/>
  <c r="AR148" i="5"/>
  <c r="AR149" i="5"/>
  <c r="AR150" i="5" s="1"/>
  <c r="AD148" i="5"/>
  <c r="AD149" i="5"/>
  <c r="AR122" i="5"/>
  <c r="L28" i="5" s="1"/>
  <c r="AD122" i="5"/>
  <c r="L24" i="5" s="1"/>
  <c r="AD123" i="5"/>
  <c r="AD124" i="5" s="1"/>
  <c r="O24" i="5" s="1"/>
  <c r="P30" i="5" l="1"/>
  <c r="O25" i="5"/>
  <c r="Q11" i="6" s="1"/>
  <c r="O28" i="5"/>
  <c r="L11" i="6"/>
  <c r="I11" i="6"/>
  <c r="BQ97" i="5"/>
  <c r="BO97" i="5"/>
  <c r="BM97" i="5"/>
  <c r="BK97" i="5"/>
  <c r="BS96" i="5"/>
  <c r="BQ96" i="5"/>
  <c r="BO96" i="5"/>
  <c r="BM96" i="5"/>
  <c r="BK96" i="5"/>
  <c r="BT95" i="5"/>
  <c r="BS95" i="5"/>
  <c r="BQ95" i="5"/>
  <c r="BO95" i="5"/>
  <c r="BM95" i="5"/>
  <c r="BK95" i="5"/>
  <c r="BS94" i="5"/>
  <c r="BQ94" i="5"/>
  <c r="BO94" i="5"/>
  <c r="BM94" i="5"/>
  <c r="BK94" i="5"/>
  <c r="BS93" i="5"/>
  <c r="BQ93" i="5"/>
  <c r="BO93" i="5"/>
  <c r="BM93" i="5"/>
  <c r="BK93" i="5"/>
  <c r="BS92" i="5"/>
  <c r="BQ92" i="5"/>
  <c r="BO92" i="5"/>
  <c r="BM92" i="5"/>
  <c r="BK92" i="5"/>
  <c r="BS91" i="5"/>
  <c r="BQ91" i="5"/>
  <c r="BO91" i="5"/>
  <c r="BM91" i="5"/>
  <c r="BK91" i="5"/>
  <c r="BS90" i="5"/>
  <c r="BQ90" i="5"/>
  <c r="BO90" i="5"/>
  <c r="BM90" i="5"/>
  <c r="BK90" i="5"/>
  <c r="BS89" i="5"/>
  <c r="BQ89" i="5"/>
  <c r="BO89" i="5"/>
  <c r="BM89" i="5"/>
  <c r="BK89" i="5"/>
  <c r="BS88" i="5"/>
  <c r="BQ88" i="5"/>
  <c r="BO88" i="5"/>
  <c r="BM88" i="5"/>
  <c r="BK88" i="5"/>
  <c r="BS87" i="5"/>
  <c r="BQ87" i="5"/>
  <c r="BO87" i="5"/>
  <c r="BM87" i="5"/>
  <c r="BK87" i="5"/>
  <c r="BS86" i="5"/>
  <c r="BQ86" i="5"/>
  <c r="BO86" i="5"/>
  <c r="BM86" i="5"/>
  <c r="BK86" i="5"/>
  <c r="BS85" i="5"/>
  <c r="BQ85" i="5"/>
  <c r="BO85" i="5"/>
  <c r="BM85" i="5"/>
  <c r="BK85" i="5"/>
  <c r="BS84" i="5"/>
  <c r="BQ84" i="5"/>
  <c r="BO84" i="5"/>
  <c r="BM84" i="5"/>
  <c r="BK84" i="5"/>
  <c r="BS83" i="5"/>
  <c r="BQ83" i="5"/>
  <c r="BO83" i="5"/>
  <c r="BM83" i="5"/>
  <c r="BK83" i="5"/>
  <c r="BS82" i="5"/>
  <c r="BQ82" i="5"/>
  <c r="BO82" i="5"/>
  <c r="BM82" i="5"/>
  <c r="BK82" i="5"/>
  <c r="BS81" i="5"/>
  <c r="BQ81" i="5"/>
  <c r="BO81" i="5"/>
  <c r="BM81" i="5"/>
  <c r="BK81" i="5"/>
  <c r="BS80" i="5"/>
  <c r="BQ80" i="5"/>
  <c r="BO80" i="5"/>
  <c r="BM80" i="5"/>
  <c r="BK80" i="5"/>
  <c r="BS79" i="5"/>
  <c r="BQ79" i="5"/>
  <c r="BO79" i="5"/>
  <c r="BM79" i="5"/>
  <c r="BK79" i="5"/>
  <c r="BS78" i="5"/>
  <c r="BQ78" i="5"/>
  <c r="BO78" i="5"/>
  <c r="BM78" i="5"/>
  <c r="BK78" i="5"/>
  <c r="BS77" i="5"/>
  <c r="BQ77" i="5"/>
  <c r="BO77" i="5"/>
  <c r="BM77" i="5"/>
  <c r="BK77" i="5"/>
  <c r="BT76" i="5"/>
  <c r="BQ75" i="5"/>
  <c r="BO75" i="5"/>
  <c r="BM75" i="5"/>
  <c r="BK75" i="5"/>
  <c r="BQ71" i="5"/>
  <c r="BO71" i="5"/>
  <c r="BM71" i="5"/>
  <c r="BK71" i="5"/>
  <c r="BS70" i="5"/>
  <c r="BQ70" i="5"/>
  <c r="BO70" i="5"/>
  <c r="BM70" i="5"/>
  <c r="BK70" i="5"/>
  <c r="BS69" i="5"/>
  <c r="BQ69" i="5"/>
  <c r="BO69" i="5"/>
  <c r="BM69" i="5"/>
  <c r="BK69" i="5"/>
  <c r="BS68" i="5"/>
  <c r="BQ68" i="5"/>
  <c r="BO68" i="5"/>
  <c r="BM68" i="5"/>
  <c r="BK68" i="5"/>
  <c r="BS67" i="5"/>
  <c r="BQ67" i="5"/>
  <c r="BO67" i="5"/>
  <c r="BM67" i="5"/>
  <c r="BK67" i="5"/>
  <c r="BS66" i="5"/>
  <c r="BQ66" i="5"/>
  <c r="BO66" i="5"/>
  <c r="BM66" i="5"/>
  <c r="BK66" i="5"/>
  <c r="BS64" i="5"/>
  <c r="BQ64" i="5"/>
  <c r="BO64" i="5"/>
  <c r="BM64" i="5"/>
  <c r="BK64" i="5"/>
  <c r="BS63" i="5"/>
  <c r="BQ63" i="5"/>
  <c r="BO63" i="5"/>
  <c r="BM63" i="5"/>
  <c r="BK63" i="5"/>
  <c r="BS62" i="5"/>
  <c r="BQ62" i="5"/>
  <c r="BO62" i="5"/>
  <c r="BM62" i="5"/>
  <c r="BK62" i="5"/>
  <c r="BS61" i="5"/>
  <c r="BQ61" i="5"/>
  <c r="BO61" i="5"/>
  <c r="BM61" i="5"/>
  <c r="BK61" i="5"/>
  <c r="BS60" i="5"/>
  <c r="BQ60" i="5"/>
  <c r="BO60" i="5"/>
  <c r="BM60" i="5"/>
  <c r="BK60" i="5"/>
  <c r="BS59" i="5"/>
  <c r="BQ59" i="5"/>
  <c r="BO59" i="5"/>
  <c r="BM59" i="5"/>
  <c r="BK59" i="5"/>
  <c r="BS58" i="5"/>
  <c r="BQ58" i="5"/>
  <c r="BO58" i="5"/>
  <c r="BM58" i="5"/>
  <c r="BK58" i="5"/>
  <c r="BS57" i="5"/>
  <c r="BQ57" i="5"/>
  <c r="BO57" i="5"/>
  <c r="BM57" i="5"/>
  <c r="BK57" i="5"/>
  <c r="BS56" i="5"/>
  <c r="BQ56" i="5"/>
  <c r="BO56" i="5"/>
  <c r="BM56" i="5"/>
  <c r="BK56" i="5"/>
  <c r="BS55" i="5"/>
  <c r="BQ55" i="5"/>
  <c r="BO55" i="5"/>
  <c r="BM55" i="5"/>
  <c r="BK55" i="5"/>
  <c r="BS54" i="5"/>
  <c r="BQ54" i="5"/>
  <c r="BO54" i="5"/>
  <c r="BM54" i="5"/>
  <c r="BK54" i="5"/>
  <c r="BS53" i="5"/>
  <c r="BQ53" i="5"/>
  <c r="BO53" i="5"/>
  <c r="BM53" i="5"/>
  <c r="BK53" i="5"/>
  <c r="BS52" i="5"/>
  <c r="BQ52" i="5"/>
  <c r="BO52" i="5"/>
  <c r="BM52" i="5"/>
  <c r="BK52" i="5"/>
  <c r="BS51" i="5"/>
  <c r="BQ51" i="5"/>
  <c r="BO51" i="5"/>
  <c r="BM51" i="5"/>
  <c r="BK51" i="5"/>
  <c r="BQ49" i="5"/>
  <c r="BO49" i="5"/>
  <c r="BM49" i="5"/>
  <c r="BK49" i="5"/>
  <c r="AO97" i="5"/>
  <c r="AM97" i="5"/>
  <c r="AK97" i="5"/>
  <c r="AI97" i="5"/>
  <c r="AQ96" i="5"/>
  <c r="AO96" i="5"/>
  <c r="AM96" i="5"/>
  <c r="AK96" i="5"/>
  <c r="AI96" i="5"/>
  <c r="AQ95" i="5"/>
  <c r="AO95" i="5"/>
  <c r="AM95" i="5"/>
  <c r="AK95" i="5"/>
  <c r="AI95" i="5"/>
  <c r="AQ94" i="5"/>
  <c r="AO94" i="5"/>
  <c r="AM94" i="5"/>
  <c r="AK94" i="5"/>
  <c r="AI94" i="5"/>
  <c r="AQ93" i="5"/>
  <c r="AO93" i="5"/>
  <c r="AM93" i="5"/>
  <c r="AK93" i="5"/>
  <c r="AI93" i="5"/>
  <c r="AQ92" i="5"/>
  <c r="AO92" i="5"/>
  <c r="AM92" i="5"/>
  <c r="AK92" i="5"/>
  <c r="AI92" i="5"/>
  <c r="AQ91" i="5"/>
  <c r="AO91" i="5"/>
  <c r="AM91" i="5"/>
  <c r="AK91" i="5"/>
  <c r="AI91" i="5"/>
  <c r="AQ90" i="5"/>
  <c r="AO90" i="5"/>
  <c r="AM90" i="5"/>
  <c r="AK90" i="5"/>
  <c r="AI90" i="5"/>
  <c r="AQ89" i="5"/>
  <c r="AO89" i="5"/>
  <c r="AM89" i="5"/>
  <c r="AK89" i="5"/>
  <c r="AI89" i="5"/>
  <c r="AQ88" i="5"/>
  <c r="AO88" i="5"/>
  <c r="AM88" i="5"/>
  <c r="AK88" i="5"/>
  <c r="AI88" i="5"/>
  <c r="AQ87" i="5"/>
  <c r="AO87" i="5"/>
  <c r="AM87" i="5"/>
  <c r="AK87" i="5"/>
  <c r="AI87" i="5"/>
  <c r="AQ86" i="5"/>
  <c r="AO86" i="5"/>
  <c r="AM86" i="5"/>
  <c r="AK86" i="5"/>
  <c r="AI86" i="5"/>
  <c r="AQ85" i="5"/>
  <c r="AO85" i="5"/>
  <c r="AM85" i="5"/>
  <c r="AK85" i="5"/>
  <c r="AI85" i="5"/>
  <c r="AQ84" i="5"/>
  <c r="AO84" i="5"/>
  <c r="AM84" i="5"/>
  <c r="AK84" i="5"/>
  <c r="AI84" i="5"/>
  <c r="AQ83" i="5"/>
  <c r="AO83" i="5"/>
  <c r="AM83" i="5"/>
  <c r="AK83" i="5"/>
  <c r="AI83" i="5"/>
  <c r="AQ82" i="5"/>
  <c r="AO82" i="5"/>
  <c r="AM82" i="5"/>
  <c r="AK82" i="5"/>
  <c r="AI82" i="5"/>
  <c r="AQ81" i="5"/>
  <c r="AO81" i="5"/>
  <c r="AM81" i="5"/>
  <c r="AK81" i="5"/>
  <c r="AI81" i="5"/>
  <c r="AQ80" i="5"/>
  <c r="AO80" i="5"/>
  <c r="AM80" i="5"/>
  <c r="AK80" i="5"/>
  <c r="AI80" i="5"/>
  <c r="AQ79" i="5"/>
  <c r="AO79" i="5"/>
  <c r="AM79" i="5"/>
  <c r="AK79" i="5"/>
  <c r="AI79" i="5"/>
  <c r="AQ78" i="5"/>
  <c r="AO78" i="5"/>
  <c r="AM78" i="5"/>
  <c r="AK78" i="5"/>
  <c r="AI78" i="5"/>
  <c r="AQ77" i="5"/>
  <c r="AO77" i="5"/>
  <c r="AM77" i="5"/>
  <c r="AK77" i="5"/>
  <c r="AI77" i="5"/>
  <c r="AO75" i="5"/>
  <c r="AM75" i="5"/>
  <c r="AK75" i="5"/>
  <c r="AI75" i="5"/>
  <c r="Y68" i="5"/>
  <c r="AO71" i="5"/>
  <c r="AM71" i="5"/>
  <c r="AK71" i="5"/>
  <c r="AI71" i="5"/>
  <c r="AQ70" i="5"/>
  <c r="AO70" i="5"/>
  <c r="AM70" i="5"/>
  <c r="AK70" i="5"/>
  <c r="AI70" i="5"/>
  <c r="AQ69" i="5"/>
  <c r="AO69" i="5"/>
  <c r="AM69" i="5"/>
  <c r="AK69" i="5"/>
  <c r="AI69" i="5"/>
  <c r="AQ68" i="5"/>
  <c r="AO68" i="5"/>
  <c r="AM68" i="5"/>
  <c r="AK68" i="5"/>
  <c r="AI68" i="5"/>
  <c r="AQ67" i="5"/>
  <c r="AO67" i="5"/>
  <c r="AM67" i="5"/>
  <c r="AK67" i="5"/>
  <c r="AI67" i="5"/>
  <c r="AQ66" i="5"/>
  <c r="AO66" i="5"/>
  <c r="AM66" i="5"/>
  <c r="AK66" i="5"/>
  <c r="AI66" i="5"/>
  <c r="AQ64" i="5"/>
  <c r="AO64" i="5"/>
  <c r="AM64" i="5"/>
  <c r="AK64" i="5"/>
  <c r="AI64" i="5"/>
  <c r="AQ63" i="5"/>
  <c r="AO63" i="5"/>
  <c r="AM63" i="5"/>
  <c r="AK63" i="5"/>
  <c r="AI63" i="5"/>
  <c r="AQ62" i="5"/>
  <c r="AO62" i="5"/>
  <c r="AM62" i="5"/>
  <c r="AK62" i="5"/>
  <c r="AI62" i="5"/>
  <c r="AQ61" i="5"/>
  <c r="AO61" i="5"/>
  <c r="AM61" i="5"/>
  <c r="AK61" i="5"/>
  <c r="AI61" i="5"/>
  <c r="AQ60" i="5"/>
  <c r="AO60" i="5"/>
  <c r="AM60" i="5"/>
  <c r="AK60" i="5"/>
  <c r="AI60" i="5"/>
  <c r="AQ59" i="5"/>
  <c r="AO59" i="5"/>
  <c r="AM59" i="5"/>
  <c r="AK59" i="5"/>
  <c r="AI59" i="5"/>
  <c r="AQ58" i="5"/>
  <c r="AO58" i="5"/>
  <c r="AM58" i="5"/>
  <c r="AK58" i="5"/>
  <c r="AI58" i="5"/>
  <c r="AQ57" i="5"/>
  <c r="AO57" i="5"/>
  <c r="AM57" i="5"/>
  <c r="AK57" i="5"/>
  <c r="AI57" i="5"/>
  <c r="AQ56" i="5"/>
  <c r="AO56" i="5"/>
  <c r="AM56" i="5"/>
  <c r="AK56" i="5"/>
  <c r="AI56" i="5"/>
  <c r="AQ55" i="5"/>
  <c r="AO55" i="5"/>
  <c r="AM55" i="5"/>
  <c r="AK55" i="5"/>
  <c r="AI55" i="5"/>
  <c r="AQ54" i="5"/>
  <c r="AO54" i="5"/>
  <c r="AM54" i="5"/>
  <c r="AK54" i="5"/>
  <c r="AI54" i="5"/>
  <c r="AQ53" i="5"/>
  <c r="AO53" i="5"/>
  <c r="AM53" i="5"/>
  <c r="AK53" i="5"/>
  <c r="AI53" i="5"/>
  <c r="AQ52" i="5"/>
  <c r="AO52" i="5"/>
  <c r="AM52" i="5"/>
  <c r="AK52" i="5"/>
  <c r="AI52" i="5"/>
  <c r="AQ51" i="5"/>
  <c r="AO51" i="5"/>
  <c r="AM51" i="5"/>
  <c r="AK51" i="5"/>
  <c r="AI51" i="5"/>
  <c r="AO49" i="5"/>
  <c r="AM49" i="5"/>
  <c r="AK49" i="5"/>
  <c r="AI49" i="5"/>
  <c r="AD95" i="5"/>
  <c r="R76" i="5"/>
  <c r="BF95" i="5"/>
  <c r="CV76" i="5"/>
  <c r="CV95" i="5"/>
  <c r="CJ95" i="5"/>
  <c r="CJ76" i="5"/>
  <c r="AT95" i="5"/>
  <c r="CS97" i="5"/>
  <c r="CQ97" i="5"/>
  <c r="CO97" i="5"/>
  <c r="CM97" i="5"/>
  <c r="CU96" i="5"/>
  <c r="CS96" i="5"/>
  <c r="CQ96" i="5"/>
  <c r="CO96" i="5"/>
  <c r="CM96" i="5"/>
  <c r="CU95" i="5"/>
  <c r="CS95" i="5"/>
  <c r="CQ95" i="5"/>
  <c r="CO95" i="5"/>
  <c r="CM95" i="5"/>
  <c r="CU94" i="5"/>
  <c r="CS94" i="5"/>
  <c r="CQ94" i="5"/>
  <c r="CO94" i="5"/>
  <c r="CM94" i="5"/>
  <c r="CU93" i="5"/>
  <c r="CS93" i="5"/>
  <c r="CQ93" i="5"/>
  <c r="CO93" i="5"/>
  <c r="CM93" i="5"/>
  <c r="CU92" i="5"/>
  <c r="CS92" i="5"/>
  <c r="CQ92" i="5"/>
  <c r="CO92" i="5"/>
  <c r="CM92" i="5"/>
  <c r="CU91" i="5"/>
  <c r="CS91" i="5"/>
  <c r="CQ91" i="5"/>
  <c r="CO91" i="5"/>
  <c r="CM91" i="5"/>
  <c r="CU90" i="5"/>
  <c r="CS90" i="5"/>
  <c r="CQ90" i="5"/>
  <c r="CO90" i="5"/>
  <c r="CM90" i="5"/>
  <c r="CU89" i="5"/>
  <c r="CS89" i="5"/>
  <c r="CQ89" i="5"/>
  <c r="CO89" i="5"/>
  <c r="CM89" i="5"/>
  <c r="CU88" i="5"/>
  <c r="CS88" i="5"/>
  <c r="CQ88" i="5"/>
  <c r="CO88" i="5"/>
  <c r="CM88" i="5"/>
  <c r="CU87" i="5"/>
  <c r="CS87" i="5"/>
  <c r="CQ87" i="5"/>
  <c r="CO87" i="5"/>
  <c r="CM87" i="5"/>
  <c r="CU86" i="5"/>
  <c r="CS86" i="5"/>
  <c r="CQ86" i="5"/>
  <c r="CO86" i="5"/>
  <c r="CM86" i="5"/>
  <c r="CU85" i="5"/>
  <c r="CS85" i="5"/>
  <c r="CQ85" i="5"/>
  <c r="CO85" i="5"/>
  <c r="CM85" i="5"/>
  <c r="CU84" i="5"/>
  <c r="CS84" i="5"/>
  <c r="CQ84" i="5"/>
  <c r="CO84" i="5"/>
  <c r="CM84" i="5"/>
  <c r="CU83" i="5"/>
  <c r="CS83" i="5"/>
  <c r="CQ83" i="5"/>
  <c r="CO83" i="5"/>
  <c r="CM83" i="5"/>
  <c r="CU82" i="5"/>
  <c r="CS82" i="5"/>
  <c r="CQ82" i="5"/>
  <c r="CO82" i="5"/>
  <c r="CM82" i="5"/>
  <c r="CU81" i="5"/>
  <c r="CS81" i="5"/>
  <c r="CQ81" i="5"/>
  <c r="CO81" i="5"/>
  <c r="CM81" i="5"/>
  <c r="CU80" i="5"/>
  <c r="CS80" i="5"/>
  <c r="CQ80" i="5"/>
  <c r="CO80" i="5"/>
  <c r="CM80" i="5"/>
  <c r="CU79" i="5"/>
  <c r="CS79" i="5"/>
  <c r="CQ79" i="5"/>
  <c r="CO79" i="5"/>
  <c r="CM79" i="5"/>
  <c r="CU78" i="5"/>
  <c r="CS78" i="5"/>
  <c r="CQ78" i="5"/>
  <c r="CO78" i="5"/>
  <c r="CM78" i="5"/>
  <c r="CU77" i="5"/>
  <c r="CS77" i="5"/>
  <c r="CQ77" i="5"/>
  <c r="CO77" i="5"/>
  <c r="CM77" i="5"/>
  <c r="CS75" i="5"/>
  <c r="CQ75" i="5"/>
  <c r="CO75" i="5"/>
  <c r="CM75" i="5"/>
  <c r="CT45" i="5"/>
  <c r="CR45" i="5"/>
  <c r="CP45" i="5"/>
  <c r="CN45" i="5"/>
  <c r="CL45" i="5"/>
  <c r="CT71" i="5"/>
  <c r="CR71" i="5"/>
  <c r="CP71" i="5"/>
  <c r="CN71" i="5"/>
  <c r="CL71" i="5"/>
  <c r="CS71" i="5"/>
  <c r="CQ71" i="5"/>
  <c r="CO71" i="5"/>
  <c r="CM71" i="5"/>
  <c r="CU70" i="5"/>
  <c r="CS70" i="5"/>
  <c r="CQ70" i="5"/>
  <c r="CO70" i="5"/>
  <c r="CM70" i="5"/>
  <c r="CU69" i="5"/>
  <c r="CS69" i="5"/>
  <c r="CQ69" i="5"/>
  <c r="CO69" i="5"/>
  <c r="CM69" i="5"/>
  <c r="CU68" i="5"/>
  <c r="CS68" i="5"/>
  <c r="CQ68" i="5"/>
  <c r="CO68" i="5"/>
  <c r="CM68" i="5"/>
  <c r="CU67" i="5"/>
  <c r="CS67" i="5"/>
  <c r="CQ67" i="5"/>
  <c r="CO67" i="5"/>
  <c r="CM67" i="5"/>
  <c r="CU66" i="5"/>
  <c r="CS66" i="5"/>
  <c r="CQ66" i="5"/>
  <c r="CO66" i="5"/>
  <c r="CM66" i="5"/>
  <c r="CU64" i="5"/>
  <c r="CS64" i="5"/>
  <c r="CQ64" i="5"/>
  <c r="CO64" i="5"/>
  <c r="CM64" i="5"/>
  <c r="CU63" i="5"/>
  <c r="CS63" i="5"/>
  <c r="CQ63" i="5"/>
  <c r="CO63" i="5"/>
  <c r="CM63" i="5"/>
  <c r="CU62" i="5"/>
  <c r="CS62" i="5"/>
  <c r="CQ62" i="5"/>
  <c r="CO62" i="5"/>
  <c r="CM62" i="5"/>
  <c r="CU61" i="5"/>
  <c r="CS61" i="5"/>
  <c r="CQ61" i="5"/>
  <c r="CO61" i="5"/>
  <c r="CM61" i="5"/>
  <c r="CU60" i="5"/>
  <c r="CS60" i="5"/>
  <c r="CQ60" i="5"/>
  <c r="CO60" i="5"/>
  <c r="CM60" i="5"/>
  <c r="CU59" i="5"/>
  <c r="CS59" i="5"/>
  <c r="CQ59" i="5"/>
  <c r="CO59" i="5"/>
  <c r="CM59" i="5"/>
  <c r="CU58" i="5"/>
  <c r="CS58" i="5"/>
  <c r="CQ58" i="5"/>
  <c r="CO58" i="5"/>
  <c r="CM58" i="5"/>
  <c r="CU57" i="5"/>
  <c r="CS57" i="5"/>
  <c r="CQ57" i="5"/>
  <c r="CO57" i="5"/>
  <c r="CM57" i="5"/>
  <c r="CU56" i="5"/>
  <c r="CS56" i="5"/>
  <c r="CQ56" i="5"/>
  <c r="CO56" i="5"/>
  <c r="CM56" i="5"/>
  <c r="CU55" i="5"/>
  <c r="CS55" i="5"/>
  <c r="CQ55" i="5"/>
  <c r="CO55" i="5"/>
  <c r="CM55" i="5"/>
  <c r="CU54" i="5"/>
  <c r="CS54" i="5"/>
  <c r="CQ54" i="5"/>
  <c r="CO54" i="5"/>
  <c r="CM54" i="5"/>
  <c r="CU53" i="5"/>
  <c r="CS53" i="5"/>
  <c r="CQ53" i="5"/>
  <c r="CO53" i="5"/>
  <c r="CM53" i="5"/>
  <c r="CU52" i="5"/>
  <c r="CS52" i="5"/>
  <c r="CQ52" i="5"/>
  <c r="CO52" i="5"/>
  <c r="CM52" i="5"/>
  <c r="CU51" i="5"/>
  <c r="CS51" i="5"/>
  <c r="CQ51" i="5"/>
  <c r="CO51" i="5"/>
  <c r="CM51" i="5"/>
  <c r="CS49" i="5"/>
  <c r="CQ49" i="5"/>
  <c r="CO49" i="5"/>
  <c r="CM49" i="5"/>
  <c r="CU45" i="5"/>
  <c r="CS45" i="5"/>
  <c r="CQ45" i="5"/>
  <c r="CO45" i="5"/>
  <c r="CM45" i="5"/>
  <c r="DH71" i="5"/>
  <c r="DF71" i="5"/>
  <c r="DD71" i="5"/>
  <c r="DB71" i="5"/>
  <c r="DA71" i="5"/>
  <c r="CZ71" i="5"/>
  <c r="DB45" i="5"/>
  <c r="DD45" i="5"/>
  <c r="DA45" i="5"/>
  <c r="DC45" i="5"/>
  <c r="DE45" i="5"/>
  <c r="DF45" i="5"/>
  <c r="DG45" i="5"/>
  <c r="DH45" i="5"/>
  <c r="DI45" i="5"/>
  <c r="CZ45" i="5"/>
  <c r="DG71" i="5"/>
  <c r="DE71" i="5"/>
  <c r="DC71" i="5"/>
  <c r="DI70" i="5"/>
  <c r="DG70" i="5"/>
  <c r="DE70" i="5"/>
  <c r="DC70" i="5"/>
  <c r="DA70" i="5"/>
  <c r="DI69" i="5"/>
  <c r="DG69" i="5"/>
  <c r="DE69" i="5"/>
  <c r="DC69" i="5"/>
  <c r="DA69" i="5"/>
  <c r="DI68" i="5"/>
  <c r="DG68" i="5"/>
  <c r="DE68" i="5"/>
  <c r="DC68" i="5"/>
  <c r="DA68" i="5"/>
  <c r="DI67" i="5"/>
  <c r="DG67" i="5"/>
  <c r="DE67" i="5"/>
  <c r="DC67" i="5"/>
  <c r="DA67" i="5"/>
  <c r="DI66" i="5"/>
  <c r="DG66" i="5"/>
  <c r="DE66" i="5"/>
  <c r="DC66" i="5"/>
  <c r="DA66" i="5"/>
  <c r="DI64" i="5"/>
  <c r="DG64" i="5"/>
  <c r="DE64" i="5"/>
  <c r="DC64" i="5"/>
  <c r="DA64" i="5"/>
  <c r="DI63" i="5"/>
  <c r="DG63" i="5"/>
  <c r="DE63" i="5"/>
  <c r="DC63" i="5"/>
  <c r="DA63" i="5"/>
  <c r="DI62" i="5"/>
  <c r="DG62" i="5"/>
  <c r="DE62" i="5"/>
  <c r="DC62" i="5"/>
  <c r="DA62" i="5"/>
  <c r="DI61" i="5"/>
  <c r="DG61" i="5"/>
  <c r="DE61" i="5"/>
  <c r="DC61" i="5"/>
  <c r="DA61" i="5"/>
  <c r="DI60" i="5"/>
  <c r="DG60" i="5"/>
  <c r="DE60" i="5"/>
  <c r="DC60" i="5"/>
  <c r="DA60" i="5"/>
  <c r="DI59" i="5"/>
  <c r="DG59" i="5"/>
  <c r="DE59" i="5"/>
  <c r="DC59" i="5"/>
  <c r="DA59" i="5"/>
  <c r="DI58" i="5"/>
  <c r="DG58" i="5"/>
  <c r="DE58" i="5"/>
  <c r="DC58" i="5"/>
  <c r="DA58" i="5"/>
  <c r="DI57" i="5"/>
  <c r="DG57" i="5"/>
  <c r="DE57" i="5"/>
  <c r="DC57" i="5"/>
  <c r="DA57" i="5"/>
  <c r="DI56" i="5"/>
  <c r="DG56" i="5"/>
  <c r="DE56" i="5"/>
  <c r="DC56" i="5"/>
  <c r="DA56" i="5"/>
  <c r="DI55" i="5"/>
  <c r="DG55" i="5"/>
  <c r="DE55" i="5"/>
  <c r="DC55" i="5"/>
  <c r="DA55" i="5"/>
  <c r="DI54" i="5"/>
  <c r="DG54" i="5"/>
  <c r="DE54" i="5"/>
  <c r="DC54" i="5"/>
  <c r="DA54" i="5"/>
  <c r="DI53" i="5"/>
  <c r="DG53" i="5"/>
  <c r="DE53" i="5"/>
  <c r="DC53" i="5"/>
  <c r="DA53" i="5"/>
  <c r="DI52" i="5"/>
  <c r="DG52" i="5"/>
  <c r="DE52" i="5"/>
  <c r="DC52" i="5"/>
  <c r="DA52" i="5"/>
  <c r="DI51" i="5"/>
  <c r="DG51" i="5"/>
  <c r="DE51" i="5"/>
  <c r="DC51" i="5"/>
  <c r="DA51" i="5"/>
  <c r="DG49" i="5"/>
  <c r="DE49" i="5"/>
  <c r="DC49" i="5"/>
  <c r="DA49" i="5"/>
  <c r="CE97" i="5"/>
  <c r="CC97" i="5"/>
  <c r="CA97" i="5"/>
  <c r="BY97" i="5"/>
  <c r="CG96" i="5"/>
  <c r="CE96" i="5"/>
  <c r="CC96" i="5"/>
  <c r="CA96" i="5"/>
  <c r="BY96" i="5"/>
  <c r="CG95" i="5"/>
  <c r="CE95" i="5"/>
  <c r="CC95" i="5"/>
  <c r="CA95" i="5"/>
  <c r="BY95" i="5"/>
  <c r="CG94" i="5"/>
  <c r="CE94" i="5"/>
  <c r="CC94" i="5"/>
  <c r="CA94" i="5"/>
  <c r="BY94" i="5"/>
  <c r="CG93" i="5"/>
  <c r="CE93" i="5"/>
  <c r="CC93" i="5"/>
  <c r="CA93" i="5"/>
  <c r="BY93" i="5"/>
  <c r="CG92" i="5"/>
  <c r="CE92" i="5"/>
  <c r="CC92" i="5"/>
  <c r="CA92" i="5"/>
  <c r="BY92" i="5"/>
  <c r="CG91" i="5"/>
  <c r="CE91" i="5"/>
  <c r="CC91" i="5"/>
  <c r="CA91" i="5"/>
  <c r="BY91" i="5"/>
  <c r="CG90" i="5"/>
  <c r="CE90" i="5"/>
  <c r="CC90" i="5"/>
  <c r="CA90" i="5"/>
  <c r="BY90" i="5"/>
  <c r="CG89" i="5"/>
  <c r="CE89" i="5"/>
  <c r="CC89" i="5"/>
  <c r="CA89" i="5"/>
  <c r="BY89" i="5"/>
  <c r="CG88" i="5"/>
  <c r="CE88" i="5"/>
  <c r="CC88" i="5"/>
  <c r="CA88" i="5"/>
  <c r="BY88" i="5"/>
  <c r="CG87" i="5"/>
  <c r="CE87" i="5"/>
  <c r="CC87" i="5"/>
  <c r="CA87" i="5"/>
  <c r="BY87" i="5"/>
  <c r="CG86" i="5"/>
  <c r="CE86" i="5"/>
  <c r="CC86" i="5"/>
  <c r="CA86" i="5"/>
  <c r="BY86" i="5"/>
  <c r="CG85" i="5"/>
  <c r="CE85" i="5"/>
  <c r="CC85" i="5"/>
  <c r="CA85" i="5"/>
  <c r="BY85" i="5"/>
  <c r="CG84" i="5"/>
  <c r="CE84" i="5"/>
  <c r="CC84" i="5"/>
  <c r="CA84" i="5"/>
  <c r="BY84" i="5"/>
  <c r="CG83" i="5"/>
  <c r="CE83" i="5"/>
  <c r="CC83" i="5"/>
  <c r="CA83" i="5"/>
  <c r="BY83" i="5"/>
  <c r="CG82" i="5"/>
  <c r="CE82" i="5"/>
  <c r="CC82" i="5"/>
  <c r="CA82" i="5"/>
  <c r="BY82" i="5"/>
  <c r="CG81" i="5"/>
  <c r="CE81" i="5"/>
  <c r="CC81" i="5"/>
  <c r="CA81" i="5"/>
  <c r="BY81" i="5"/>
  <c r="CG80" i="5"/>
  <c r="CE80" i="5"/>
  <c r="CC80" i="5"/>
  <c r="CA80" i="5"/>
  <c r="BY80" i="5"/>
  <c r="CG79" i="5"/>
  <c r="CE79" i="5"/>
  <c r="CC79" i="5"/>
  <c r="CA79" i="5"/>
  <c r="BY79" i="5"/>
  <c r="CG78" i="5"/>
  <c r="CE78" i="5"/>
  <c r="CC78" i="5"/>
  <c r="CA78" i="5"/>
  <c r="BY78" i="5"/>
  <c r="CG77" i="5"/>
  <c r="CE77" i="5"/>
  <c r="CC77" i="5"/>
  <c r="CA77" i="5"/>
  <c r="BY77" i="5"/>
  <c r="CE75" i="5"/>
  <c r="CC75" i="5"/>
  <c r="CA75" i="5"/>
  <c r="BY75" i="5"/>
  <c r="CE71" i="5"/>
  <c r="CC71" i="5"/>
  <c r="CA71" i="5"/>
  <c r="BY71" i="5"/>
  <c r="CG70" i="5"/>
  <c r="CE70" i="5"/>
  <c r="CC70" i="5"/>
  <c r="CA70" i="5"/>
  <c r="BY70" i="5"/>
  <c r="CG69" i="5"/>
  <c r="CE69" i="5"/>
  <c r="CC69" i="5"/>
  <c r="CA69" i="5"/>
  <c r="BY69" i="5"/>
  <c r="CG68" i="5"/>
  <c r="CE68" i="5"/>
  <c r="CC68" i="5"/>
  <c r="CA68" i="5"/>
  <c r="BY68" i="5"/>
  <c r="CG67" i="5"/>
  <c r="CE67" i="5"/>
  <c r="CC67" i="5"/>
  <c r="CA67" i="5"/>
  <c r="BY67" i="5"/>
  <c r="CG66" i="5"/>
  <c r="CE66" i="5"/>
  <c r="CC66" i="5"/>
  <c r="CA66" i="5"/>
  <c r="BY66" i="5"/>
  <c r="CG64" i="5"/>
  <c r="CE64" i="5"/>
  <c r="CC64" i="5"/>
  <c r="CA64" i="5"/>
  <c r="BY64" i="5"/>
  <c r="CG63" i="5"/>
  <c r="CE63" i="5"/>
  <c r="CC63" i="5"/>
  <c r="CA63" i="5"/>
  <c r="BY63" i="5"/>
  <c r="CG62" i="5"/>
  <c r="CE62" i="5"/>
  <c r="CC62" i="5"/>
  <c r="CA62" i="5"/>
  <c r="BY62" i="5"/>
  <c r="CG61" i="5"/>
  <c r="CE61" i="5"/>
  <c r="CC61" i="5"/>
  <c r="CA61" i="5"/>
  <c r="BY61" i="5"/>
  <c r="CG60" i="5"/>
  <c r="CE60" i="5"/>
  <c r="CC60" i="5"/>
  <c r="CA60" i="5"/>
  <c r="BY60" i="5"/>
  <c r="CG59" i="5"/>
  <c r="CE59" i="5"/>
  <c r="CC59" i="5"/>
  <c r="CA59" i="5"/>
  <c r="BY59" i="5"/>
  <c r="CG58" i="5"/>
  <c r="CE58" i="5"/>
  <c r="CC58" i="5"/>
  <c r="CA58" i="5"/>
  <c r="BY58" i="5"/>
  <c r="CG57" i="5"/>
  <c r="CE57" i="5"/>
  <c r="CC57" i="5"/>
  <c r="CA57" i="5"/>
  <c r="BY57" i="5"/>
  <c r="CG56" i="5"/>
  <c r="CE56" i="5"/>
  <c r="CC56" i="5"/>
  <c r="CA56" i="5"/>
  <c r="BY56" i="5"/>
  <c r="CG55" i="5"/>
  <c r="CE55" i="5"/>
  <c r="CC55" i="5"/>
  <c r="CA55" i="5"/>
  <c r="BY55" i="5"/>
  <c r="CG54" i="5"/>
  <c r="CE54" i="5"/>
  <c r="CC54" i="5"/>
  <c r="CA54" i="5"/>
  <c r="BY54" i="5"/>
  <c r="CG53" i="5"/>
  <c r="CE53" i="5"/>
  <c r="CC53" i="5"/>
  <c r="CA53" i="5"/>
  <c r="BY53" i="5"/>
  <c r="CG52" i="5"/>
  <c r="CE52" i="5"/>
  <c r="CC52" i="5"/>
  <c r="CA52" i="5"/>
  <c r="BY52" i="5"/>
  <c r="CG51" i="5"/>
  <c r="CE51" i="5"/>
  <c r="CC51" i="5"/>
  <c r="CA51" i="5"/>
  <c r="BY51" i="5"/>
  <c r="CE49" i="5"/>
  <c r="CC49" i="5"/>
  <c r="CA49" i="5"/>
  <c r="BY49" i="5"/>
  <c r="CH71" i="5" l="1"/>
  <c r="CH72" i="5" s="1"/>
  <c r="J26" i="5" s="1"/>
  <c r="AR71" i="5"/>
  <c r="AR72" i="5" s="1"/>
  <c r="BT96" i="5"/>
  <c r="BT97" i="5"/>
  <c r="BT98" i="5" s="1"/>
  <c r="BT70" i="5"/>
  <c r="H28" i="5" s="1"/>
  <c r="BT71" i="5"/>
  <c r="BT72" i="5" s="1"/>
  <c r="AR97" i="5"/>
  <c r="AR98" i="5" s="1"/>
  <c r="AR96" i="5"/>
  <c r="AR70" i="5"/>
  <c r="F28" i="5" s="1"/>
  <c r="CV97" i="5"/>
  <c r="CV96" i="5"/>
  <c r="CV71" i="5"/>
  <c r="CV72" i="5" s="1"/>
  <c r="CV70" i="5"/>
  <c r="DJ71" i="5"/>
  <c r="DJ72" i="5" s="1"/>
  <c r="DJ70" i="5"/>
  <c r="G30" i="5" s="1"/>
  <c r="CH97" i="5"/>
  <c r="CH96" i="5"/>
  <c r="CH70" i="5"/>
  <c r="G26" i="5" s="1"/>
  <c r="AK163" i="5"/>
  <c r="AK164" i="5" s="1"/>
  <c r="AK165" i="5" s="1"/>
  <c r="AR163" i="5"/>
  <c r="AR164" i="5" s="1"/>
  <c r="AR165" i="5" s="1"/>
  <c r="AR166" i="5" s="1"/>
  <c r="AR167" i="5" s="1"/>
  <c r="AP163" i="5"/>
  <c r="AP168" i="5" s="1"/>
  <c r="AU163" i="5"/>
  <c r="AU164" i="5" s="1"/>
  <c r="AU165" i="5" s="1"/>
  <c r="AU166" i="5" s="1"/>
  <c r="AU167" i="5" s="1"/>
  <c r="AT163" i="5"/>
  <c r="AT164" i="5" s="1"/>
  <c r="AT165" i="5" s="1"/>
  <c r="AT166" i="5" s="1"/>
  <c r="AT167" i="5" s="1"/>
  <c r="AS163" i="5"/>
  <c r="AS164" i="5" s="1"/>
  <c r="AS165" i="5" s="1"/>
  <c r="AS166" i="5" s="1"/>
  <c r="AS167" i="5" s="1"/>
  <c r="AQ163" i="5"/>
  <c r="AO163" i="5"/>
  <c r="AO164" i="5" s="1"/>
  <c r="AO165" i="5" s="1"/>
  <c r="AO166" i="5" s="1"/>
  <c r="AO167" i="5" s="1"/>
  <c r="AM163" i="5"/>
  <c r="AN163" i="5"/>
  <c r="AN164" i="5" s="1"/>
  <c r="AN165" i="5" s="1"/>
  <c r="AN166" i="5" s="1"/>
  <c r="AN167" i="5" s="1"/>
  <c r="AL163" i="5"/>
  <c r="AL164" i="5" s="1"/>
  <c r="AL165" i="5" s="1"/>
  <c r="AL166" i="5" s="1"/>
  <c r="AL167" i="5" s="1"/>
  <c r="J30" i="5" l="1"/>
  <c r="J28" i="5"/>
  <c r="J27" i="5"/>
  <c r="AM168" i="5"/>
  <c r="AR168" i="5"/>
  <c r="AQ168" i="5"/>
  <c r="AS168" i="5"/>
  <c r="AM164" i="5"/>
  <c r="AM165" i="5" s="1"/>
  <c r="AM166" i="5" s="1"/>
  <c r="AM167" i="5" s="1"/>
  <c r="AN168" i="5"/>
  <c r="AQ164" i="5"/>
  <c r="AQ165" i="5" s="1"/>
  <c r="AQ166" i="5" s="1"/>
  <c r="AQ167" i="5" s="1"/>
  <c r="AT168" i="5"/>
  <c r="AO168" i="5"/>
  <c r="AU168" i="5"/>
  <c r="AP164" i="5"/>
  <c r="AP165" i="5" s="1"/>
  <c r="AP166" i="5" s="1"/>
  <c r="AP167" i="5" s="1"/>
  <c r="R95" i="5"/>
  <c r="AT76" i="5"/>
  <c r="BC96" i="5"/>
  <c r="BC97" i="5"/>
  <c r="BA97" i="5"/>
  <c r="AY97" i="5"/>
  <c r="AW97" i="5"/>
  <c r="BE96" i="5"/>
  <c r="BA96" i="5"/>
  <c r="AY96" i="5"/>
  <c r="AW96" i="5"/>
  <c r="BE95" i="5"/>
  <c r="BC95" i="5"/>
  <c r="BA95" i="5"/>
  <c r="AY95" i="5"/>
  <c r="AW95" i="5"/>
  <c r="BE94" i="5"/>
  <c r="BC94" i="5"/>
  <c r="BA94" i="5"/>
  <c r="AY94" i="5"/>
  <c r="AW94" i="5"/>
  <c r="BE93" i="5"/>
  <c r="BC93" i="5"/>
  <c r="BA93" i="5"/>
  <c r="AY93" i="5"/>
  <c r="AW93" i="5"/>
  <c r="BE92" i="5"/>
  <c r="BC92" i="5"/>
  <c r="BA92" i="5"/>
  <c r="AY92" i="5"/>
  <c r="AW92" i="5"/>
  <c r="BE91" i="5"/>
  <c r="BC91" i="5"/>
  <c r="BA91" i="5"/>
  <c r="AY91" i="5"/>
  <c r="AW91" i="5"/>
  <c r="BE90" i="5"/>
  <c r="BC90" i="5"/>
  <c r="BA90" i="5"/>
  <c r="AY90" i="5"/>
  <c r="AW90" i="5"/>
  <c r="BE89" i="5"/>
  <c r="BC89" i="5"/>
  <c r="BA89" i="5"/>
  <c r="AY89" i="5"/>
  <c r="AW89" i="5"/>
  <c r="BE88" i="5"/>
  <c r="BC88" i="5"/>
  <c r="BA88" i="5"/>
  <c r="AY88" i="5"/>
  <c r="AW88" i="5"/>
  <c r="BE87" i="5"/>
  <c r="BC87" i="5"/>
  <c r="BA87" i="5"/>
  <c r="AY87" i="5"/>
  <c r="AW87" i="5"/>
  <c r="BE86" i="5"/>
  <c r="BC86" i="5"/>
  <c r="BA86" i="5"/>
  <c r="AY86" i="5"/>
  <c r="AW86" i="5"/>
  <c r="BE85" i="5"/>
  <c r="BC85" i="5"/>
  <c r="BA85" i="5"/>
  <c r="AY85" i="5"/>
  <c r="AW85" i="5"/>
  <c r="BE84" i="5"/>
  <c r="BC84" i="5"/>
  <c r="BA84" i="5"/>
  <c r="AY84" i="5"/>
  <c r="AW84" i="5"/>
  <c r="BE83" i="5"/>
  <c r="BC83" i="5"/>
  <c r="BA83" i="5"/>
  <c r="AY83" i="5"/>
  <c r="AW83" i="5"/>
  <c r="BE82" i="5"/>
  <c r="BC82" i="5"/>
  <c r="BA82" i="5"/>
  <c r="AY82" i="5"/>
  <c r="AW82" i="5"/>
  <c r="BE81" i="5"/>
  <c r="BC81" i="5"/>
  <c r="BA81" i="5"/>
  <c r="AY81" i="5"/>
  <c r="AW81" i="5"/>
  <c r="BE80" i="5"/>
  <c r="BC80" i="5"/>
  <c r="BA80" i="5"/>
  <c r="AY80" i="5"/>
  <c r="AW80" i="5"/>
  <c r="BE79" i="5"/>
  <c r="BC79" i="5"/>
  <c r="BA79" i="5"/>
  <c r="AY79" i="5"/>
  <c r="AW79" i="5"/>
  <c r="BE78" i="5"/>
  <c r="BC78" i="5"/>
  <c r="BA78" i="5"/>
  <c r="AY78" i="5"/>
  <c r="AW78" i="5"/>
  <c r="BE77" i="5"/>
  <c r="BC77" i="5"/>
  <c r="BA77" i="5"/>
  <c r="AY77" i="5"/>
  <c r="AW77" i="5"/>
  <c r="BC75" i="5"/>
  <c r="BA75" i="5"/>
  <c r="AY75" i="5"/>
  <c r="AW75" i="5"/>
  <c r="BC71" i="5"/>
  <c r="BA71" i="5"/>
  <c r="AY71" i="5"/>
  <c r="AW71" i="5"/>
  <c r="BC70" i="5"/>
  <c r="BA70" i="5"/>
  <c r="AY70" i="5"/>
  <c r="AW70" i="5"/>
  <c r="BE69" i="5"/>
  <c r="BC69" i="5"/>
  <c r="BA69" i="5"/>
  <c r="AY69" i="5"/>
  <c r="AW69" i="5"/>
  <c r="BE68" i="5"/>
  <c r="BC68" i="5"/>
  <c r="BA68" i="5"/>
  <c r="AY68" i="5"/>
  <c r="AW68" i="5"/>
  <c r="BE67" i="5"/>
  <c r="BC67" i="5"/>
  <c r="BA67" i="5"/>
  <c r="AY67" i="5"/>
  <c r="AW67" i="5"/>
  <c r="BE66" i="5"/>
  <c r="BC66" i="5"/>
  <c r="BA66" i="5"/>
  <c r="AY66" i="5"/>
  <c r="AW66" i="5"/>
  <c r="BE64" i="5"/>
  <c r="BC64" i="5"/>
  <c r="BA64" i="5"/>
  <c r="AY64" i="5"/>
  <c r="AW64" i="5"/>
  <c r="BE63" i="5"/>
  <c r="BC63" i="5"/>
  <c r="BA63" i="5"/>
  <c r="AY63" i="5"/>
  <c r="AW63" i="5"/>
  <c r="BE62" i="5"/>
  <c r="BC62" i="5"/>
  <c r="BA62" i="5"/>
  <c r="AY62" i="5"/>
  <c r="AW62" i="5"/>
  <c r="BE61" i="5"/>
  <c r="BC61" i="5"/>
  <c r="BA61" i="5"/>
  <c r="AY61" i="5"/>
  <c r="AW61" i="5"/>
  <c r="BE60" i="5"/>
  <c r="BC60" i="5"/>
  <c r="BA60" i="5"/>
  <c r="AY60" i="5"/>
  <c r="AW60" i="5"/>
  <c r="BE59" i="5"/>
  <c r="BC59" i="5"/>
  <c r="BA59" i="5"/>
  <c r="AY59" i="5"/>
  <c r="AW59" i="5"/>
  <c r="BE58" i="5"/>
  <c r="BC58" i="5"/>
  <c r="BA58" i="5"/>
  <c r="AY58" i="5"/>
  <c r="AW58" i="5"/>
  <c r="BE57" i="5"/>
  <c r="BC57" i="5"/>
  <c r="BA57" i="5"/>
  <c r="AY57" i="5"/>
  <c r="AW57" i="5"/>
  <c r="BE56" i="5"/>
  <c r="BC56" i="5"/>
  <c r="BA56" i="5"/>
  <c r="AY56" i="5"/>
  <c r="AW56" i="5"/>
  <c r="BE55" i="5"/>
  <c r="BC55" i="5"/>
  <c r="BA55" i="5"/>
  <c r="AY55" i="5"/>
  <c r="AW55" i="5"/>
  <c r="BE54" i="5"/>
  <c r="BC54" i="5"/>
  <c r="BA54" i="5"/>
  <c r="AY54" i="5"/>
  <c r="AW54" i="5"/>
  <c r="BE53" i="5"/>
  <c r="BC53" i="5"/>
  <c r="BA53" i="5"/>
  <c r="AY53" i="5"/>
  <c r="AW53" i="5"/>
  <c r="BE52" i="5"/>
  <c r="BC52" i="5"/>
  <c r="BA52" i="5"/>
  <c r="AY52" i="5"/>
  <c r="AW52" i="5"/>
  <c r="BC51" i="5"/>
  <c r="BA51" i="5"/>
  <c r="AY51" i="5"/>
  <c r="AW51" i="5"/>
  <c r="BA49" i="5"/>
  <c r="AY49" i="5"/>
  <c r="AW49" i="5"/>
  <c r="BF96" i="5" l="1"/>
  <c r="BF97" i="5"/>
  <c r="BF98" i="5" s="1"/>
  <c r="BC49" i="5"/>
  <c r="BF71" i="5" s="1"/>
  <c r="BF72" i="5" s="1"/>
  <c r="K24" i="5" s="1"/>
  <c r="BE51" i="5"/>
  <c r="BE70" i="5"/>
  <c r="BF70" i="5" s="1"/>
  <c r="H24" i="5" s="1"/>
  <c r="J11" i="6" s="1"/>
  <c r="M11" i="6" l="1"/>
  <c r="K28" i="5"/>
  <c r="AC95" i="5"/>
  <c r="AC96" i="5"/>
  <c r="AA49" i="5"/>
  <c r="AA97" i="5"/>
  <c r="AC70" i="5"/>
  <c r="Y97" i="5"/>
  <c r="W97" i="5"/>
  <c r="U97" i="5"/>
  <c r="AA96" i="5"/>
  <c r="Y96" i="5"/>
  <c r="W96" i="5"/>
  <c r="U96" i="5"/>
  <c r="AA95" i="5"/>
  <c r="Y95" i="5"/>
  <c r="W95" i="5"/>
  <c r="U95" i="5"/>
  <c r="AC94" i="5"/>
  <c r="AA94" i="5"/>
  <c r="Y94" i="5"/>
  <c r="W94" i="5"/>
  <c r="U94" i="5"/>
  <c r="AC93" i="5"/>
  <c r="AA93" i="5"/>
  <c r="Y93" i="5"/>
  <c r="W93" i="5"/>
  <c r="U93" i="5"/>
  <c r="AC92" i="5"/>
  <c r="AA92" i="5"/>
  <c r="Y92" i="5"/>
  <c r="W92" i="5"/>
  <c r="U92" i="5"/>
  <c r="AC91" i="5"/>
  <c r="AA91" i="5"/>
  <c r="Y91" i="5"/>
  <c r="W91" i="5"/>
  <c r="U91" i="5"/>
  <c r="AC90" i="5"/>
  <c r="AA90" i="5"/>
  <c r="Y90" i="5"/>
  <c r="W90" i="5"/>
  <c r="U90" i="5"/>
  <c r="AC89" i="5"/>
  <c r="AA89" i="5"/>
  <c r="Y89" i="5"/>
  <c r="W89" i="5"/>
  <c r="U89" i="5"/>
  <c r="AC88" i="5"/>
  <c r="AA88" i="5"/>
  <c r="Y88" i="5"/>
  <c r="W88" i="5"/>
  <c r="U88" i="5"/>
  <c r="AC87" i="5"/>
  <c r="AA87" i="5"/>
  <c r="Y87" i="5"/>
  <c r="W87" i="5"/>
  <c r="U87" i="5"/>
  <c r="AC86" i="5"/>
  <c r="AA86" i="5"/>
  <c r="Y86" i="5"/>
  <c r="W86" i="5"/>
  <c r="U86" i="5"/>
  <c r="AC85" i="5"/>
  <c r="AA85" i="5"/>
  <c r="Y85" i="5"/>
  <c r="W85" i="5"/>
  <c r="U85" i="5"/>
  <c r="AC84" i="5"/>
  <c r="AA84" i="5"/>
  <c r="Y84" i="5"/>
  <c r="W84" i="5"/>
  <c r="U84" i="5"/>
  <c r="AC83" i="5"/>
  <c r="AA83" i="5"/>
  <c r="Y83" i="5"/>
  <c r="W83" i="5"/>
  <c r="U83" i="5"/>
  <c r="AC82" i="5"/>
  <c r="AA82" i="5"/>
  <c r="Y82" i="5"/>
  <c r="W82" i="5"/>
  <c r="U82" i="5"/>
  <c r="AC81" i="5"/>
  <c r="AA81" i="5"/>
  <c r="Y81" i="5"/>
  <c r="W81" i="5"/>
  <c r="U81" i="5"/>
  <c r="AC80" i="5"/>
  <c r="AA80" i="5"/>
  <c r="Y80" i="5"/>
  <c r="W80" i="5"/>
  <c r="U80" i="5"/>
  <c r="AC79" i="5"/>
  <c r="AA79" i="5"/>
  <c r="Y79" i="5"/>
  <c r="W79" i="5"/>
  <c r="U79" i="5"/>
  <c r="AC78" i="5"/>
  <c r="AA78" i="5"/>
  <c r="Y78" i="5"/>
  <c r="W78" i="5"/>
  <c r="U78" i="5"/>
  <c r="AC77" i="5"/>
  <c r="AA77" i="5"/>
  <c r="Y77" i="5"/>
  <c r="W77" i="5"/>
  <c r="U77" i="5"/>
  <c r="AA75" i="5"/>
  <c r="Y75" i="5"/>
  <c r="W75" i="5"/>
  <c r="U75" i="5"/>
  <c r="AA71" i="5"/>
  <c r="Y71" i="5"/>
  <c r="W71" i="5"/>
  <c r="U71" i="5"/>
  <c r="Y49" i="5"/>
  <c r="W49" i="5"/>
  <c r="U49" i="5"/>
  <c r="AA70" i="5"/>
  <c r="Y70" i="5"/>
  <c r="W70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AA69" i="5"/>
  <c r="AA68" i="5"/>
  <c r="AA67" i="5"/>
  <c r="AA66" i="5"/>
  <c r="AA65" i="5"/>
  <c r="AA64" i="5"/>
  <c r="AA63" i="5"/>
  <c r="AA62" i="5"/>
  <c r="AA61" i="5"/>
  <c r="AA60" i="5"/>
  <c r="AA59" i="5"/>
  <c r="AA58" i="5"/>
  <c r="AA57" i="5"/>
  <c r="AA56" i="5"/>
  <c r="AA55" i="5"/>
  <c r="AA54" i="5"/>
  <c r="AA53" i="5"/>
  <c r="AA52" i="5"/>
  <c r="AA51" i="5"/>
  <c r="AC69" i="5"/>
  <c r="AC68" i="5"/>
  <c r="AC67" i="5"/>
  <c r="AC66" i="5"/>
  <c r="AC65" i="5"/>
  <c r="AC64" i="5"/>
  <c r="AC63" i="5"/>
  <c r="AC62" i="5"/>
  <c r="AC61" i="5"/>
  <c r="AC60" i="5"/>
  <c r="AC59" i="5"/>
  <c r="AC58" i="5"/>
  <c r="AC57" i="5"/>
  <c r="AC56" i="5"/>
  <c r="AC55" i="5"/>
  <c r="AC54" i="5"/>
  <c r="AC53" i="5"/>
  <c r="AC52" i="5"/>
  <c r="AC51" i="5"/>
  <c r="W52" i="5"/>
  <c r="W53" i="5"/>
  <c r="W54" i="5"/>
  <c r="W55" i="5"/>
  <c r="W56" i="5"/>
  <c r="W57" i="5"/>
  <c r="W58" i="5"/>
  <c r="W59" i="5"/>
  <c r="W60" i="5"/>
  <c r="W61" i="5"/>
  <c r="W62" i="5"/>
  <c r="W63" i="5"/>
  <c r="W64" i="5"/>
  <c r="W65" i="5"/>
  <c r="W66" i="5"/>
  <c r="W67" i="5"/>
  <c r="W68" i="5"/>
  <c r="W69" i="5"/>
  <c r="W51" i="5"/>
  <c r="Y52" i="5"/>
  <c r="Y53" i="5"/>
  <c r="Y54" i="5"/>
  <c r="Y55" i="5"/>
  <c r="Y56" i="5"/>
  <c r="Y57" i="5"/>
  <c r="Y58" i="5"/>
  <c r="Y59" i="5"/>
  <c r="Y60" i="5"/>
  <c r="Y61" i="5"/>
  <c r="Y62" i="5"/>
  <c r="Y63" i="5"/>
  <c r="Y64" i="5"/>
  <c r="Y65" i="5"/>
  <c r="Y66" i="5"/>
  <c r="Y67" i="5"/>
  <c r="Y69" i="5"/>
  <c r="Y51" i="5"/>
  <c r="F33" i="6"/>
  <c r="H41" i="6" s="1"/>
  <c r="I7" i="6"/>
  <c r="J7" i="6" s="1"/>
  <c r="G7" i="6"/>
  <c r="H7" i="6" s="1"/>
  <c r="E7" i="6"/>
  <c r="D7" i="6"/>
  <c r="D13" i="6"/>
  <c r="F7" i="6" l="1"/>
  <c r="E61" i="6" s="1"/>
  <c r="E41" i="6"/>
  <c r="AD70" i="5"/>
  <c r="E60" i="6"/>
  <c r="AD71" i="5"/>
  <c r="AD72" i="5" s="1"/>
  <c r="I24" i="5" s="1"/>
  <c r="AD97" i="5"/>
  <c r="AD96" i="5"/>
  <c r="C7" i="6"/>
  <c r="I28" i="5" l="1"/>
  <c r="I27" i="5"/>
  <c r="I25" i="5"/>
  <c r="K11" i="6" s="1"/>
  <c r="I26" i="5"/>
  <c r="D27" i="9"/>
  <c r="C27" i="9"/>
  <c r="D25" i="6" l="1"/>
  <c r="C25" i="6"/>
  <c r="C21" i="6"/>
  <c r="D21" i="6" s="1"/>
  <c r="T11" i="6" s="1"/>
  <c r="C19" i="6"/>
  <c r="D19" i="6" s="1"/>
  <c r="C17" i="6"/>
  <c r="D17" i="6" s="1"/>
  <c r="E62" i="6" s="1"/>
  <c r="D11" i="6"/>
  <c r="D15" i="6"/>
  <c r="C15" i="6"/>
  <c r="C13" i="6"/>
  <c r="C11" i="6"/>
  <c r="E17" i="6" l="1"/>
  <c r="F17" i="6" s="1"/>
  <c r="C44" i="6" s="1"/>
  <c r="C46" i="6" s="1"/>
  <c r="E15" i="6" s="1"/>
  <c r="C42" i="6" s="1"/>
  <c r="G41" i="6"/>
  <c r="E59" i="6"/>
  <c r="D21" i="2"/>
  <c r="E11" i="9"/>
  <c r="D7" i="9"/>
  <c r="E65" i="9" s="1"/>
  <c r="D64" i="8"/>
  <c r="D65" i="8" s="1"/>
  <c r="D25" i="9"/>
  <c r="E60" i="9" s="1"/>
  <c r="E63" i="6" l="1"/>
  <c r="E64" i="6" s="1"/>
  <c r="C40" i="6" s="1"/>
  <c r="E59" i="2"/>
  <c r="E57" i="9"/>
  <c r="D6" i="1"/>
  <c r="D5" i="1"/>
  <c r="C6" i="1"/>
  <c r="C5" i="1"/>
  <c r="F25" i="1"/>
  <c r="F24" i="1"/>
  <c r="F23" i="1"/>
  <c r="E25" i="1"/>
  <c r="E24" i="1"/>
  <c r="E23" i="1"/>
  <c r="E21" i="2"/>
  <c r="D23" i="2"/>
  <c r="C23" i="2"/>
  <c r="E31" i="2"/>
  <c r="G11" i="2"/>
  <c r="E60" i="2"/>
  <c r="O116" i="1"/>
  <c r="V121" i="1" s="1"/>
  <c r="U116" i="1"/>
  <c r="S116" i="1"/>
  <c r="Q116" i="1"/>
  <c r="T102" i="1"/>
  <c r="T103" i="1"/>
  <c r="T84" i="1"/>
  <c r="T85" i="1"/>
  <c r="U82" i="1"/>
  <c r="S82" i="1"/>
  <c r="Q82" i="1"/>
  <c r="Q115" i="1"/>
  <c r="V114" i="1"/>
  <c r="V113" i="1"/>
  <c r="V112" i="1"/>
  <c r="V111" i="1"/>
  <c r="V110" i="1"/>
  <c r="V109" i="1"/>
  <c r="V108" i="1"/>
  <c r="V107" i="1"/>
  <c r="V106" i="1"/>
  <c r="V105" i="1"/>
  <c r="V104" i="1"/>
  <c r="V103" i="1"/>
  <c r="V102" i="1"/>
  <c r="V101" i="1"/>
  <c r="V100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T114" i="1"/>
  <c r="T113" i="1"/>
  <c r="T112" i="1"/>
  <c r="T111" i="1"/>
  <c r="T110" i="1"/>
  <c r="T109" i="1"/>
  <c r="T108" i="1"/>
  <c r="T107" i="1"/>
  <c r="T106" i="1"/>
  <c r="T105" i="1"/>
  <c r="T104" i="1"/>
  <c r="T101" i="1"/>
  <c r="T100" i="1"/>
  <c r="T99" i="1"/>
  <c r="T98" i="1"/>
  <c r="T97" i="1"/>
  <c r="T96" i="1"/>
  <c r="T95" i="1"/>
  <c r="T94" i="1"/>
  <c r="T93" i="1"/>
  <c r="T92" i="1"/>
  <c r="T91" i="1"/>
  <c r="T90" i="1"/>
  <c r="T89" i="1"/>
  <c r="T88" i="1"/>
  <c r="T87" i="1"/>
  <c r="T86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AD82" i="1"/>
  <c r="AB82" i="1"/>
  <c r="Z82" i="1"/>
  <c r="AD116" i="1"/>
  <c r="AB116" i="1"/>
  <c r="AD115" i="1" s="1"/>
  <c r="X116" i="1"/>
  <c r="AE114" i="1"/>
  <c r="AE113" i="1"/>
  <c r="AE112" i="1"/>
  <c r="AE111" i="1"/>
  <c r="AE110" i="1"/>
  <c r="AE109" i="1"/>
  <c r="AE108" i="1"/>
  <c r="AE107" i="1"/>
  <c r="AE106" i="1"/>
  <c r="AE105" i="1"/>
  <c r="AE104" i="1"/>
  <c r="AE103" i="1"/>
  <c r="AE102" i="1"/>
  <c r="AE101" i="1"/>
  <c r="AE100" i="1"/>
  <c r="AE99" i="1"/>
  <c r="AE98" i="1"/>
  <c r="AE97" i="1"/>
  <c r="AE96" i="1"/>
  <c r="AE95" i="1"/>
  <c r="AE94" i="1"/>
  <c r="AE93" i="1"/>
  <c r="AE92" i="1"/>
  <c r="AE91" i="1"/>
  <c r="AE90" i="1"/>
  <c r="AE89" i="1"/>
  <c r="AE88" i="1"/>
  <c r="AE87" i="1"/>
  <c r="AE86" i="1"/>
  <c r="AE85" i="1"/>
  <c r="AE84" i="1"/>
  <c r="AA85" i="1"/>
  <c r="AC114" i="1"/>
  <c r="AC113" i="1"/>
  <c r="AC112" i="1"/>
  <c r="AC111" i="1"/>
  <c r="AC110" i="1"/>
  <c r="AC109" i="1"/>
  <c r="AC108" i="1"/>
  <c r="AC107" i="1"/>
  <c r="AC106" i="1"/>
  <c r="AC105" i="1"/>
  <c r="AC104" i="1"/>
  <c r="AC103" i="1"/>
  <c r="AC102" i="1"/>
  <c r="AC101" i="1"/>
  <c r="AC100" i="1"/>
  <c r="AC99" i="1"/>
  <c r="AC98" i="1"/>
  <c r="AC97" i="1"/>
  <c r="AC96" i="1"/>
  <c r="AC95" i="1"/>
  <c r="AC94" i="1"/>
  <c r="AC93" i="1"/>
  <c r="AC92" i="1"/>
  <c r="AC91" i="1"/>
  <c r="AC90" i="1"/>
  <c r="AC89" i="1"/>
  <c r="AC88" i="1"/>
  <c r="AC87" i="1"/>
  <c r="AC86" i="1"/>
  <c r="AC85" i="1"/>
  <c r="AC84" i="1"/>
  <c r="Z116" i="1"/>
  <c r="Z115" i="1" s="1"/>
  <c r="AA113" i="1"/>
  <c r="AA114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99" i="1"/>
  <c r="AA100" i="1"/>
  <c r="AA101" i="1"/>
  <c r="AA102" i="1"/>
  <c r="AA103" i="1"/>
  <c r="AA104" i="1"/>
  <c r="AA105" i="1"/>
  <c r="AA106" i="1"/>
  <c r="AA107" i="1"/>
  <c r="AA108" i="1"/>
  <c r="AA109" i="1"/>
  <c r="AA110" i="1"/>
  <c r="AA111" i="1"/>
  <c r="AA112" i="1"/>
  <c r="AA84" i="1"/>
  <c r="Y84" i="1"/>
  <c r="F11" i="2"/>
  <c r="F41" i="6" l="1"/>
  <c r="R117" i="1"/>
  <c r="S115" i="1"/>
  <c r="AB115" i="1"/>
  <c r="U115" i="1"/>
  <c r="V117" i="1" s="1"/>
  <c r="T145" i="1"/>
  <c r="T144" i="1"/>
  <c r="T143" i="1"/>
  <c r="T142" i="1"/>
  <c r="T141" i="1"/>
  <c r="T140" i="1"/>
  <c r="C145" i="1"/>
  <c r="T117" i="1" l="1"/>
  <c r="Y114" i="1"/>
  <c r="Y113" i="1"/>
  <c r="Y112" i="1"/>
  <c r="Y111" i="1"/>
  <c r="Y110" i="1"/>
  <c r="Y109" i="1"/>
  <c r="Y108" i="1"/>
  <c r="Y107" i="1"/>
  <c r="Y106" i="1"/>
  <c r="Y105" i="1"/>
  <c r="Y104" i="1"/>
  <c r="Y103" i="1"/>
  <c r="Y102" i="1"/>
  <c r="Y101" i="1"/>
  <c r="Y100" i="1"/>
  <c r="Y99" i="1"/>
  <c r="Y98" i="1"/>
  <c r="Y97" i="1"/>
  <c r="Y96" i="1"/>
  <c r="Y95" i="1"/>
  <c r="Y94" i="1"/>
  <c r="Y93" i="1"/>
  <c r="Y92" i="1"/>
  <c r="Y91" i="1"/>
  <c r="Y90" i="1"/>
  <c r="Y89" i="1"/>
  <c r="Y88" i="1"/>
  <c r="Y87" i="1"/>
  <c r="Y86" i="1"/>
  <c r="Y85" i="1"/>
  <c r="D23" i="1" l="1"/>
  <c r="D24" i="1"/>
  <c r="D25" i="1"/>
  <c r="AA174" i="1" l="1"/>
  <c r="AA175" i="1"/>
  <c r="AA176" i="1"/>
  <c r="AA173" i="1"/>
  <c r="D19" i="2"/>
  <c r="F7" i="2" s="1"/>
  <c r="C19" i="2"/>
  <c r="E56" i="2"/>
  <c r="C21" i="2"/>
  <c r="D17" i="2"/>
  <c r="D15" i="2"/>
  <c r="C15" i="2"/>
  <c r="D13" i="2"/>
  <c r="C13" i="2"/>
  <c r="C17" i="2"/>
  <c r="C150" i="1"/>
  <c r="C149" i="1"/>
  <c r="C148" i="1"/>
  <c r="C147" i="1"/>
  <c r="D29" i="2" s="1"/>
  <c r="C146" i="1"/>
  <c r="D11" i="2"/>
  <c r="E15" i="2" s="1"/>
  <c r="C11" i="2"/>
  <c r="C29" i="2"/>
  <c r="E19" i="2" l="1"/>
  <c r="C40" i="2" s="1"/>
  <c r="E58" i="2"/>
  <c r="E11" i="2"/>
  <c r="E64" i="2"/>
  <c r="E54" i="2"/>
  <c r="E63" i="2" l="1"/>
  <c r="E55" i="2"/>
  <c r="F15" i="2"/>
  <c r="C44" i="2" s="1"/>
  <c r="D13" i="9"/>
  <c r="C13" i="9"/>
  <c r="D21" i="9"/>
  <c r="C21" i="9"/>
  <c r="C23" i="9"/>
  <c r="E53" i="2" l="1"/>
  <c r="C46" i="2"/>
  <c r="F21" i="2" s="1"/>
  <c r="C42" i="2" s="1"/>
  <c r="E33" i="9" l="1"/>
  <c r="C7" i="9"/>
  <c r="D11" i="9"/>
  <c r="D15" i="9" s="1"/>
  <c r="C25" i="9"/>
  <c r="C19" i="9"/>
  <c r="C17" i="9"/>
  <c r="C15" i="9"/>
  <c r="C11" i="9"/>
  <c r="D41" i="9"/>
  <c r="D66" i="8"/>
  <c r="D67" i="8" s="1"/>
  <c r="D68" i="8" s="1"/>
  <c r="D69" i="8" s="1"/>
  <c r="D70" i="8" s="1"/>
  <c r="D33" i="9"/>
  <c r="E54" i="9" s="1"/>
  <c r="E49" i="9"/>
  <c r="C9" i="9"/>
  <c r="D71" i="8" l="1"/>
  <c r="D72" i="8" s="1"/>
  <c r="D73" i="8" s="1"/>
  <c r="D74" i="8" s="1"/>
  <c r="D75" i="8" s="1"/>
  <c r="D76" i="8" s="1"/>
  <c r="D77" i="8" s="1"/>
  <c r="D78" i="8" s="1"/>
  <c r="D79" i="8" s="1"/>
  <c r="D80" i="8" s="1"/>
  <c r="F19" i="9"/>
  <c r="E64" i="9" s="1"/>
  <c r="E56" i="9"/>
  <c r="E15" i="9"/>
  <c r="C48" i="9" s="1"/>
  <c r="C50" i="9" s="1"/>
  <c r="E21" i="9" s="1"/>
  <c r="C46" i="9" s="1"/>
  <c r="D19" i="9"/>
  <c r="E19" i="9" l="1"/>
  <c r="E59" i="9"/>
  <c r="E25" i="9"/>
  <c r="E66" i="9"/>
  <c r="E61" i="9" l="1"/>
  <c r="C44" i="9"/>
  <c r="E58" i="9"/>
  <c r="C115" i="12"/>
  <c r="C114" i="12"/>
  <c r="C113" i="12"/>
  <c r="C109" i="12"/>
  <c r="C108" i="12"/>
  <c r="C139" i="8"/>
  <c r="C138" i="8"/>
  <c r="C137" i="8"/>
  <c r="C133" i="8"/>
  <c r="C132" i="8"/>
  <c r="C153" i="5"/>
  <c r="C152" i="5"/>
  <c r="C151" i="5"/>
  <c r="C147" i="5"/>
  <c r="C146" i="5"/>
  <c r="C169" i="1" l="1"/>
  <c r="C10" i="1" s="1"/>
  <c r="E33" i="2"/>
  <c r="E52" i="2" s="1"/>
  <c r="C17" i="1" l="1"/>
  <c r="E33" i="6"/>
  <c r="E55" i="6" s="1"/>
  <c r="C29" i="6" l="1"/>
  <c r="C21" i="1"/>
  <c r="C35" i="13" l="1"/>
  <c r="C31" i="13"/>
  <c r="C33" i="13"/>
  <c r="C37" i="13"/>
  <c r="C7" i="13"/>
  <c r="C11" i="13"/>
  <c r="D96" i="12"/>
  <c r="D95" i="12"/>
  <c r="D94" i="12"/>
  <c r="C100" i="12"/>
  <c r="C99" i="12"/>
  <c r="C98" i="12"/>
  <c r="C38" i="13" l="1"/>
  <c r="C16" i="8"/>
  <c r="C15" i="8"/>
  <c r="C14" i="8"/>
  <c r="C13" i="8"/>
  <c r="C12" i="8"/>
  <c r="D9" i="9" s="1"/>
  <c r="E48" i="9" s="1"/>
  <c r="C11" i="8"/>
  <c r="C10" i="8"/>
  <c r="F3" i="10" l="1"/>
  <c r="F4" i="10"/>
  <c r="F5" i="10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92" i="10"/>
  <c r="F93" i="10"/>
  <c r="F94" i="10"/>
  <c r="F95" i="10"/>
  <c r="F96" i="10"/>
  <c r="F97" i="10"/>
  <c r="F98" i="10"/>
  <c r="F99" i="10"/>
  <c r="F100" i="10"/>
  <c r="F101" i="10"/>
  <c r="F102" i="10"/>
  <c r="F103" i="10"/>
  <c r="F104" i="10"/>
  <c r="F105" i="10"/>
  <c r="F106" i="10"/>
  <c r="F107" i="10"/>
  <c r="F108" i="10"/>
  <c r="F109" i="10"/>
  <c r="F110" i="10"/>
  <c r="F111" i="10"/>
  <c r="F112" i="10"/>
  <c r="F113" i="10"/>
  <c r="F114" i="10"/>
  <c r="F115" i="10"/>
  <c r="F116" i="10"/>
  <c r="F117" i="10"/>
  <c r="F118" i="10"/>
  <c r="F119" i="10"/>
  <c r="F120" i="10"/>
  <c r="F121" i="10"/>
  <c r="F122" i="10"/>
  <c r="F123" i="10"/>
  <c r="F124" i="10"/>
  <c r="F125" i="10"/>
  <c r="F126" i="10"/>
  <c r="F127" i="10"/>
  <c r="F128" i="10"/>
  <c r="F129" i="10"/>
  <c r="F130" i="10"/>
  <c r="F131" i="10"/>
  <c r="F132" i="10"/>
  <c r="F133" i="10"/>
  <c r="F134" i="10"/>
  <c r="F135" i="10"/>
  <c r="F136" i="10"/>
  <c r="F137" i="10"/>
  <c r="F138" i="10"/>
  <c r="F139" i="10"/>
  <c r="F140" i="10"/>
  <c r="F141" i="10"/>
  <c r="F142" i="10"/>
  <c r="F143" i="10"/>
  <c r="F144" i="10"/>
  <c r="F145" i="10"/>
  <c r="F146" i="10"/>
  <c r="F147" i="10"/>
  <c r="F148" i="10"/>
  <c r="F149" i="10"/>
  <c r="F150" i="10"/>
  <c r="F151" i="10"/>
  <c r="F152" i="10"/>
  <c r="F153" i="10"/>
  <c r="F154" i="10"/>
  <c r="F155" i="10"/>
  <c r="F156" i="10"/>
  <c r="F157" i="10"/>
  <c r="F158" i="10"/>
  <c r="F159" i="10"/>
  <c r="F160" i="10"/>
  <c r="F161" i="10"/>
  <c r="F162" i="10"/>
  <c r="F163" i="10"/>
  <c r="F164" i="10"/>
  <c r="F165" i="10"/>
  <c r="F166" i="10"/>
  <c r="F167" i="10"/>
  <c r="F168" i="10"/>
  <c r="F169" i="10"/>
  <c r="F170" i="10"/>
  <c r="F171" i="10"/>
  <c r="F172" i="10"/>
  <c r="F173" i="10"/>
  <c r="F174" i="10"/>
  <c r="F175" i="10"/>
  <c r="F176" i="10"/>
  <c r="F177" i="10"/>
  <c r="F178" i="10"/>
  <c r="F179" i="10"/>
  <c r="F180" i="10"/>
  <c r="F181" i="10"/>
  <c r="F182" i="10"/>
  <c r="F183" i="10"/>
  <c r="F184" i="10"/>
  <c r="F185" i="10"/>
  <c r="F186" i="10"/>
  <c r="F187" i="10"/>
  <c r="F188" i="10"/>
  <c r="F189" i="10"/>
  <c r="F190" i="10"/>
  <c r="F191" i="10"/>
  <c r="F192" i="10"/>
  <c r="F193" i="10"/>
  <c r="F194" i="10"/>
  <c r="F195" i="10"/>
  <c r="F196" i="10"/>
  <c r="F197" i="10"/>
  <c r="F198" i="10"/>
  <c r="F199" i="10"/>
  <c r="F200" i="10"/>
  <c r="F201" i="10"/>
  <c r="F202" i="10"/>
  <c r="F203" i="10"/>
  <c r="F204" i="10"/>
  <c r="F205" i="10"/>
  <c r="F206" i="10"/>
  <c r="F207" i="10"/>
  <c r="F208" i="10"/>
  <c r="F209" i="10"/>
  <c r="F210" i="10"/>
  <c r="F211" i="10"/>
  <c r="F212" i="10"/>
  <c r="F213" i="10"/>
  <c r="F214" i="10"/>
  <c r="F215" i="10"/>
  <c r="F216" i="10"/>
  <c r="F217" i="10"/>
  <c r="F218" i="10"/>
  <c r="F219" i="10"/>
  <c r="F220" i="10"/>
  <c r="F221" i="10"/>
  <c r="F222" i="10"/>
  <c r="F223" i="10"/>
  <c r="F224" i="10"/>
  <c r="F225" i="10"/>
  <c r="F226" i="10"/>
  <c r="F227" i="10"/>
  <c r="F228" i="10"/>
  <c r="F229" i="10"/>
  <c r="F230" i="10"/>
  <c r="F231" i="10"/>
  <c r="F232" i="10"/>
  <c r="F233" i="10"/>
  <c r="F234" i="10"/>
  <c r="F235" i="10"/>
  <c r="F236" i="10"/>
  <c r="F237" i="10"/>
  <c r="F238" i="10"/>
  <c r="F239" i="10"/>
  <c r="F240" i="10"/>
  <c r="F241" i="10"/>
  <c r="F2" i="10"/>
  <c r="C125" i="8"/>
  <c r="E52" i="9"/>
  <c r="C118" i="8"/>
  <c r="C117" i="8"/>
  <c r="C41" i="9"/>
  <c r="C37" i="9"/>
  <c r="C33" i="9"/>
  <c r="C35" i="9"/>
  <c r="C31" i="9"/>
  <c r="C29" i="9"/>
  <c r="C39" i="9"/>
  <c r="E51" i="9" l="1"/>
  <c r="E50" i="9" l="1"/>
  <c r="C42" i="9" s="1"/>
  <c r="D37" i="9"/>
  <c r="E55" i="9" s="1"/>
  <c r="C122" i="8"/>
  <c r="C121" i="8"/>
  <c r="C120" i="8"/>
  <c r="D35" i="9" s="1"/>
  <c r="E53" i="9" s="1"/>
  <c r="D31" i="2" l="1"/>
  <c r="E50" i="2" s="1"/>
  <c r="E35" i="6" l="1"/>
  <c r="C37" i="6"/>
  <c r="C33" i="6"/>
  <c r="C35" i="6"/>
  <c r="C9" i="6"/>
  <c r="C139" i="5"/>
  <c r="D128" i="5"/>
  <c r="D126" i="5"/>
  <c r="D127" i="5"/>
  <c r="C130" i="5"/>
  <c r="C129" i="5"/>
  <c r="C128" i="5"/>
  <c r="C127" i="5"/>
  <c r="C126" i="5"/>
  <c r="D133" i="5"/>
  <c r="C133" i="5"/>
  <c r="C132" i="5"/>
  <c r="C131" i="5"/>
  <c r="C33" i="2"/>
  <c r="D33" i="2" s="1"/>
  <c r="D125" i="5"/>
  <c r="D124" i="5"/>
  <c r="D123" i="5"/>
  <c r="D29" i="6" s="1"/>
  <c r="D122" i="5"/>
  <c r="C125" i="5"/>
  <c r="C124" i="5"/>
  <c r="C123" i="5"/>
  <c r="C122" i="5"/>
  <c r="D31" i="6" l="1"/>
  <c r="C21" i="5"/>
  <c r="D37" i="6"/>
  <c r="E58" i="6" s="1"/>
  <c r="C141" i="5"/>
  <c r="E54" i="6" s="1"/>
  <c r="C140" i="5"/>
  <c r="C38" i="6" l="1"/>
  <c r="E47" i="6"/>
  <c r="C35" i="2"/>
  <c r="C31" i="2"/>
  <c r="C37" i="2"/>
  <c r="C27" i="2"/>
  <c r="C9" i="2"/>
  <c r="D9" i="2" l="1"/>
  <c r="D35" i="2"/>
  <c r="E51" i="2" s="1"/>
  <c r="C160" i="1"/>
  <c r="C159" i="1"/>
  <c r="C164" i="1"/>
  <c r="C166" i="1"/>
  <c r="C165" i="1"/>
  <c r="E46" i="2" l="1"/>
  <c r="C38" i="2"/>
  <c r="C137" i="1"/>
  <c r="C139" i="1"/>
  <c r="C138" i="1"/>
  <c r="E48" i="2" s="1"/>
  <c r="C12" i="1"/>
  <c r="C143" i="1"/>
  <c r="D37" i="2" s="1"/>
  <c r="E49" i="2" s="1"/>
  <c r="C142" i="1"/>
  <c r="C135" i="1"/>
  <c r="D27" i="2" s="1"/>
  <c r="C134" i="1"/>
  <c r="E47" i="2" l="1"/>
  <c r="E57" i="2"/>
  <c r="C11" i="1"/>
  <c r="C16" i="1"/>
  <c r="C18" i="1"/>
  <c r="C15" i="1"/>
  <c r="C19" i="1"/>
  <c r="C13" i="1"/>
  <c r="C14" i="1"/>
  <c r="C20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<sst xmlns="http://schemas.openxmlformats.org/spreadsheetml/2006/main" count="3475" uniqueCount="1217">
  <si>
    <t>SW280</t>
  </si>
  <si>
    <t>SW300</t>
  </si>
  <si>
    <t>SW320</t>
  </si>
  <si>
    <t>SW340</t>
  </si>
  <si>
    <t>SW360</t>
  </si>
  <si>
    <t>SW380</t>
  </si>
  <si>
    <t>SW400</t>
  </si>
  <si>
    <t>SW500</t>
  </si>
  <si>
    <t>DCA1300</t>
  </si>
  <si>
    <t>DCA1305</t>
  </si>
  <si>
    <t>DCA1310</t>
  </si>
  <si>
    <t>DCA1315</t>
  </si>
  <si>
    <t>DCA1320</t>
  </si>
  <si>
    <t>DCA1325</t>
  </si>
  <si>
    <t>DCA1330</t>
  </si>
  <si>
    <t>DCA1335</t>
  </si>
  <si>
    <t>SW420</t>
  </si>
  <si>
    <t>SW440</t>
  </si>
  <si>
    <t>DCA1340</t>
  </si>
  <si>
    <t>SW460</t>
  </si>
  <si>
    <t>DCA1345</t>
  </si>
  <si>
    <t>SW480</t>
  </si>
  <si>
    <t>DCA1350</t>
  </si>
  <si>
    <t>DCA1355</t>
  </si>
  <si>
    <t>Seat width</t>
  </si>
  <si>
    <t>INPUTS</t>
  </si>
  <si>
    <t>Siderest</t>
  </si>
  <si>
    <t>DCA3530</t>
  </si>
  <si>
    <t>DCAXXXX</t>
  </si>
  <si>
    <t>Rear wheel size</t>
  </si>
  <si>
    <t>22"</t>
  </si>
  <si>
    <t>24"</t>
  </si>
  <si>
    <t>25"</t>
  </si>
  <si>
    <t>26"</t>
  </si>
  <si>
    <t>DCA6400</t>
  </si>
  <si>
    <t>DCA6410</t>
  </si>
  <si>
    <t>DCA6420</t>
  </si>
  <si>
    <t>DCA6430</t>
  </si>
  <si>
    <t>Rear wheel type</t>
  </si>
  <si>
    <t>Starec</t>
  </si>
  <si>
    <t>Spinergy</t>
  </si>
  <si>
    <t>DCA6500</t>
  </si>
  <si>
    <t>DCA6510</t>
  </si>
  <si>
    <t>DCA6520</t>
  </si>
  <si>
    <t>DCA6550</t>
  </si>
  <si>
    <t>Camber</t>
  </si>
  <si>
    <t>0°</t>
  </si>
  <si>
    <t>3°</t>
  </si>
  <si>
    <t>DCA6820</t>
  </si>
  <si>
    <t>DCA6830</t>
  </si>
  <si>
    <t>OUTPUT</t>
  </si>
  <si>
    <t>A</t>
  </si>
  <si>
    <t>B</t>
  </si>
  <si>
    <t>C</t>
  </si>
  <si>
    <t>D</t>
  </si>
  <si>
    <t>E</t>
  </si>
  <si>
    <t>Wheel diameter mm</t>
  </si>
  <si>
    <t>Thick. adapter plate:</t>
  </si>
  <si>
    <t>Width ext. adapterplates</t>
  </si>
  <si>
    <t>Bearing spacer</t>
  </si>
  <si>
    <t>Hub center</t>
  </si>
  <si>
    <t>Bearing width</t>
  </si>
  <si>
    <t>DCA6700</t>
  </si>
  <si>
    <t>DCA6710</t>
  </si>
  <si>
    <t>DCA6720</t>
  </si>
  <si>
    <t>DCA6740</t>
  </si>
  <si>
    <t>DCA6750</t>
  </si>
  <si>
    <t>DCA6760</t>
  </si>
  <si>
    <t>DCA6770</t>
  </si>
  <si>
    <t>DCA6780</t>
  </si>
  <si>
    <t>DCA6790</t>
  </si>
  <si>
    <t>Quadro</t>
  </si>
  <si>
    <t>Curve L</t>
  </si>
  <si>
    <t>Gekko</t>
  </si>
  <si>
    <t>Gekko S</t>
  </si>
  <si>
    <t>Handrim</t>
  </si>
  <si>
    <t>F</t>
  </si>
  <si>
    <t xml:space="preserve">Width Handrims </t>
  </si>
  <si>
    <t>OPTION</t>
  </si>
  <si>
    <t>CONFIGURATION</t>
  </si>
  <si>
    <t>0° + 3°</t>
  </si>
  <si>
    <t>6°</t>
  </si>
  <si>
    <t>0° + 0°</t>
  </si>
  <si>
    <t>3° + 3°</t>
  </si>
  <si>
    <t>3° + 6°</t>
  </si>
  <si>
    <t>6° + 6°</t>
  </si>
  <si>
    <t>mdg/arm</t>
  </si>
  <si>
    <t>std (cl. g.)</t>
  </si>
  <si>
    <t>Bushing</t>
  </si>
  <si>
    <t>A'</t>
  </si>
  <si>
    <t>A''</t>
  </si>
  <si>
    <t>Active std</t>
  </si>
  <si>
    <t>Active oth</t>
  </si>
  <si>
    <t>A'''</t>
  </si>
  <si>
    <t>A=</t>
  </si>
  <si>
    <t>B=</t>
  </si>
  <si>
    <t>C=</t>
  </si>
  <si>
    <t>Angle</t>
  </si>
  <si>
    <t>D=</t>
  </si>
  <si>
    <t>E=</t>
  </si>
  <si>
    <r>
      <t xml:space="preserve">K-SERIES 2.0  _  </t>
    </r>
    <r>
      <rPr>
        <i/>
        <sz val="20"/>
        <color theme="1"/>
        <rFont val="Calibri"/>
        <family val="2"/>
        <scheme val="minor"/>
      </rPr>
      <t>values</t>
    </r>
  </si>
  <si>
    <t>DKA6200</t>
  </si>
  <si>
    <t>DKA6210</t>
  </si>
  <si>
    <t>DKA6220</t>
  </si>
  <si>
    <t>DKA6050</t>
  </si>
  <si>
    <t>DKA1310</t>
  </si>
  <si>
    <t>DKA1315</t>
  </si>
  <si>
    <t>DKA1320</t>
  </si>
  <si>
    <t>DKA1325</t>
  </si>
  <si>
    <t>DKA1330</t>
  </si>
  <si>
    <t>DKA1335</t>
  </si>
  <si>
    <t>DKA1340</t>
  </si>
  <si>
    <t>DKA1345</t>
  </si>
  <si>
    <t>DKA1350</t>
  </si>
  <si>
    <t>DKA1355</t>
  </si>
  <si>
    <t>DKA3405/3420/3480</t>
  </si>
  <si>
    <t>DKA6200+6250</t>
  </si>
  <si>
    <t>DKA6200+6260</t>
  </si>
  <si>
    <t>DKA6210+6260</t>
  </si>
  <si>
    <t>DKA6210+6270</t>
  </si>
  <si>
    <t>DKA6220+6270</t>
  </si>
  <si>
    <t>DKA6050+6240</t>
  </si>
  <si>
    <t>DKA6050+6250</t>
  </si>
  <si>
    <t>DKA6050+6260</t>
  </si>
  <si>
    <t>DKA6500</t>
  </si>
  <si>
    <t>DKA6510</t>
  </si>
  <si>
    <t>DKA6520</t>
  </si>
  <si>
    <t>DKA6550</t>
  </si>
  <si>
    <t>DKA6410</t>
  </si>
  <si>
    <t>DKA6420</t>
  </si>
  <si>
    <t>DKA6430</t>
  </si>
  <si>
    <t>DKA6700</t>
  </si>
  <si>
    <t>DKA6710</t>
  </si>
  <si>
    <t>DKA6720</t>
  </si>
  <si>
    <t>DKA6740</t>
  </si>
  <si>
    <t>DKA6750</t>
  </si>
  <si>
    <t>DKA6760</t>
  </si>
  <si>
    <t>DKA6770</t>
  </si>
  <si>
    <t>DKA6780</t>
  </si>
  <si>
    <t>DKA6790</t>
  </si>
  <si>
    <t>/</t>
  </si>
  <si>
    <t>A''''</t>
  </si>
  <si>
    <r>
      <t xml:space="preserve">COMPACT 2.0  _  </t>
    </r>
    <r>
      <rPr>
        <i/>
        <sz val="20"/>
        <color theme="1"/>
        <rFont val="Calibri"/>
        <family val="2"/>
        <scheme val="minor"/>
      </rPr>
      <t>values</t>
    </r>
  </si>
  <si>
    <r>
      <t xml:space="preserve">Champion 2.0  _  </t>
    </r>
    <r>
      <rPr>
        <i/>
        <sz val="20"/>
        <color theme="1"/>
        <rFont val="Calibri"/>
        <family val="2"/>
        <scheme val="minor"/>
      </rPr>
      <t>values</t>
    </r>
  </si>
  <si>
    <t>1°</t>
  </si>
  <si>
    <t>DHA6820</t>
  </si>
  <si>
    <t>DHA6830</t>
  </si>
  <si>
    <t>DHA6840</t>
  </si>
  <si>
    <t>Anti-tipper</t>
  </si>
  <si>
    <t>Ext. plates</t>
  </si>
  <si>
    <t>DHA3430</t>
  </si>
  <si>
    <t>DHA7500/7510/7520</t>
  </si>
  <si>
    <t>DHA1320</t>
  </si>
  <si>
    <t>DHA1325</t>
  </si>
  <si>
    <t>DHA1330</t>
  </si>
  <si>
    <t>DHA1335</t>
  </si>
  <si>
    <t>DHA1340</t>
  </si>
  <si>
    <t>DHA1345</t>
  </si>
  <si>
    <t>DHA1350</t>
  </si>
  <si>
    <t>DHA6500</t>
  </si>
  <si>
    <t>DHA6510</t>
  </si>
  <si>
    <t>DHA6520</t>
  </si>
  <si>
    <t>DHA6550</t>
  </si>
  <si>
    <t>DHA6400</t>
  </si>
  <si>
    <t>DHA6410</t>
  </si>
  <si>
    <t>DHA6420</t>
  </si>
  <si>
    <t>DHA6430</t>
  </si>
  <si>
    <t>DHA6700</t>
  </si>
  <si>
    <t>DHA6710</t>
  </si>
  <si>
    <t>DHA6720</t>
  </si>
  <si>
    <t>DHA6740</t>
  </si>
  <si>
    <t>DHA6750</t>
  </si>
  <si>
    <t>DHA6760</t>
  </si>
  <si>
    <t>DHA6770</t>
  </si>
  <si>
    <t>DHA6780</t>
  </si>
  <si>
    <t>DHA6790</t>
  </si>
  <si>
    <t>Armrest</t>
  </si>
  <si>
    <t>Side guards</t>
  </si>
  <si>
    <t>DHA3490</t>
  </si>
  <si>
    <t>DHA3425</t>
  </si>
  <si>
    <t>DHA3440</t>
  </si>
  <si>
    <t>DHA3450</t>
  </si>
  <si>
    <t>KT3900-022: épaisseur palier</t>
  </si>
  <si>
    <t>F=</t>
  </si>
  <si>
    <t>G=</t>
  </si>
  <si>
    <t>F'</t>
  </si>
  <si>
    <t>G</t>
  </si>
  <si>
    <t>C'</t>
  </si>
  <si>
    <t>SIDE GUARDS / CLOTHES GUARDS</t>
  </si>
  <si>
    <t>ARMREST</t>
  </si>
  <si>
    <t>REAR WHEEL TYPE</t>
  </si>
  <si>
    <t>REAR WHEEL CAMBER</t>
  </si>
  <si>
    <t>ANTITIPPER</t>
  </si>
  <si>
    <t>Value</t>
  </si>
  <si>
    <t>NC</t>
  </si>
  <si>
    <t>DSA1340</t>
  </si>
  <si>
    <t>DSA6220</t>
  </si>
  <si>
    <t>DSA6210</t>
  </si>
  <si>
    <t>DSA6200</t>
  </si>
  <si>
    <t>DSA1335</t>
  </si>
  <si>
    <t>DSA1330</t>
  </si>
  <si>
    <t>DSA1325</t>
  </si>
  <si>
    <t>DSA1320</t>
  </si>
  <si>
    <t>DSA1315</t>
  </si>
  <si>
    <t>Backrest</t>
  </si>
  <si>
    <r>
      <t xml:space="preserve">KSL 2.0  _  </t>
    </r>
    <r>
      <rPr>
        <i/>
        <sz val="20"/>
        <color theme="1"/>
        <rFont val="Calibri"/>
        <family val="2"/>
        <scheme val="minor"/>
      </rPr>
      <t>values</t>
    </r>
  </si>
  <si>
    <t>DSA0100</t>
  </si>
  <si>
    <t>DSA0120</t>
  </si>
  <si>
    <t>Axle tube</t>
  </si>
  <si>
    <t>Camber axle +</t>
  </si>
  <si>
    <t>Backrest type</t>
  </si>
  <si>
    <t>DSA6500</t>
  </si>
  <si>
    <t>DSA6510</t>
  </si>
  <si>
    <t>DSA6520</t>
  </si>
  <si>
    <t>DSA6550</t>
  </si>
  <si>
    <t>DSA6410</t>
  </si>
  <si>
    <t>DSA6420</t>
  </si>
  <si>
    <t>DSA6700</t>
  </si>
  <si>
    <t>DSA6710</t>
  </si>
  <si>
    <t>DSA6720</t>
  </si>
  <si>
    <t>DSA6740</t>
  </si>
  <si>
    <t>DSA6750</t>
  </si>
  <si>
    <t>DSA6760</t>
  </si>
  <si>
    <t>DSA6770</t>
  </si>
  <si>
    <t>DSA6780</t>
  </si>
  <si>
    <t>DSA6790</t>
  </si>
  <si>
    <t>Camber bushing</t>
  </si>
  <si>
    <t>axle tube +</t>
  </si>
  <si>
    <t>DKA3440/3450/34..</t>
  </si>
  <si>
    <t>D'</t>
  </si>
  <si>
    <t>D''</t>
  </si>
  <si>
    <t>Angle 1</t>
  </si>
  <si>
    <t>Angle 2</t>
  </si>
  <si>
    <t>A =</t>
  </si>
  <si>
    <t>C =</t>
  </si>
  <si>
    <t>D =</t>
  </si>
  <si>
    <t>E =</t>
  </si>
  <si>
    <t>F =</t>
  </si>
  <si>
    <t>Distance between outside of rear wheel adapter plate</t>
  </si>
  <si>
    <t>Distance sleeves added if armrest Küschall</t>
  </si>
  <si>
    <t>Rear wheel hub width, + distance sleeve for active wheel</t>
  </si>
  <si>
    <t>Cambering impact on the width</t>
  </si>
  <si>
    <t>Bearing width regarding rear wheel camber</t>
  </si>
  <si>
    <t>B =</t>
  </si>
  <si>
    <t>G =</t>
  </si>
  <si>
    <t>Width of the handrim</t>
  </si>
  <si>
    <t>Cancelling distance sleeve when active wheel and armrest Küschall</t>
  </si>
  <si>
    <t>Helping informations</t>
  </si>
  <si>
    <t>Length camber axle tube</t>
  </si>
  <si>
    <t>A: Seat width</t>
  </si>
  <si>
    <t>A': length tube more if clothe-guard without active wheel (defaut value)</t>
  </si>
  <si>
    <t>A'': length tube to add if mudguard or armrest (added to defaut value)</t>
  </si>
  <si>
    <t>A''': length tube to add if active wheel and clothe-guard (added to defaut value)</t>
  </si>
  <si>
    <t>A'''': length tube to add if active wheel and mudguard or armrest  (added to defaut value)</t>
  </si>
  <si>
    <t>Length camber bushing</t>
  </si>
  <si>
    <t>Rear wheel hub width</t>
  </si>
  <si>
    <t>D': Théoricaly</t>
  </si>
  <si>
    <t>D'': Correction for reality</t>
  </si>
  <si>
    <t>Distance between folding mechanism axles</t>
  </si>
  <si>
    <t>Distance added for adapteplate outside</t>
  </si>
  <si>
    <t>Distance sleeve or anti-tipper</t>
  </si>
  <si>
    <t>Rear wheel hub</t>
  </si>
  <si>
    <t>Impact of the cambering</t>
  </si>
  <si>
    <t>Handrims width</t>
  </si>
  <si>
    <t>Camber axle length</t>
  </si>
  <si>
    <t>A'': Standard lenth of the tube</t>
  </si>
  <si>
    <t>A': Length added if foldable back</t>
  </si>
  <si>
    <t>A''': length of camber bushing</t>
  </si>
  <si>
    <t>Width rear wheel hub</t>
  </si>
  <si>
    <t>Impact of cambering</t>
  </si>
  <si>
    <t>Width of handrim</t>
  </si>
  <si>
    <t>Frame type</t>
  </si>
  <si>
    <t>DHA1150</t>
  </si>
  <si>
    <t>DHA1160</t>
  </si>
  <si>
    <t>DHA1170</t>
  </si>
  <si>
    <t>DHA1180</t>
  </si>
  <si>
    <t>Seat depth</t>
  </si>
  <si>
    <t>SD340</t>
  </si>
  <si>
    <t>SD360</t>
  </si>
  <si>
    <t>SD380</t>
  </si>
  <si>
    <t>SD400</t>
  </si>
  <si>
    <t>SD420</t>
  </si>
  <si>
    <t>SD440</t>
  </si>
  <si>
    <t>SD460</t>
  </si>
  <si>
    <t>SD480</t>
  </si>
  <si>
    <t>DHA1405</t>
  </si>
  <si>
    <t>DHA1415</t>
  </si>
  <si>
    <t>DHA1480</t>
  </si>
  <si>
    <t>DHA1470</t>
  </si>
  <si>
    <t>DHA1460</t>
  </si>
  <si>
    <t>DHA1445</t>
  </si>
  <si>
    <t>DHA1435</t>
  </si>
  <si>
    <t>DHA1425</t>
  </si>
  <si>
    <t>Back height</t>
  </si>
  <si>
    <t>BH300</t>
  </si>
  <si>
    <t>BH315</t>
  </si>
  <si>
    <t>BH330</t>
  </si>
  <si>
    <t>BH345</t>
  </si>
  <si>
    <t>BH360</t>
  </si>
  <si>
    <t>BH375</t>
  </si>
  <si>
    <t>BH390</t>
  </si>
  <si>
    <t>BH405</t>
  </si>
  <si>
    <t>BH420</t>
  </si>
  <si>
    <t>BH435</t>
  </si>
  <si>
    <t>BH450</t>
  </si>
  <si>
    <t>BH465</t>
  </si>
  <si>
    <t>DHA1615</t>
  </si>
  <si>
    <t>DHA1620</t>
  </si>
  <si>
    <t>DHA1625</t>
  </si>
  <si>
    <t>DHA1630</t>
  </si>
  <si>
    <t>DHA1635</t>
  </si>
  <si>
    <t>DHA1640</t>
  </si>
  <si>
    <t>DHA1645</t>
  </si>
  <si>
    <t>DHA1650</t>
  </si>
  <si>
    <t>DHA1655</t>
  </si>
  <si>
    <t>DHA1660</t>
  </si>
  <si>
    <t>DHA1665</t>
  </si>
  <si>
    <t>DHA1670</t>
  </si>
  <si>
    <t>Front seat to floor</t>
  </si>
  <si>
    <t>FSTF450</t>
  </si>
  <si>
    <t>FSTF460</t>
  </si>
  <si>
    <t>FSTF470</t>
  </si>
  <si>
    <t>FSTF480</t>
  </si>
  <si>
    <t>FSTF490</t>
  </si>
  <si>
    <t>FSTF500</t>
  </si>
  <si>
    <t>FSTF510</t>
  </si>
  <si>
    <t>FSTF520</t>
  </si>
  <si>
    <t>FSTF530</t>
  </si>
  <si>
    <t>FSTF540</t>
  </si>
  <si>
    <t>DHA1740</t>
  </si>
  <si>
    <t>DHA1745</t>
  </si>
  <si>
    <t>DHA1750</t>
  </si>
  <si>
    <t>DHA1755</t>
  </si>
  <si>
    <t>DHA1760</t>
  </si>
  <si>
    <t>DHA1765</t>
  </si>
  <si>
    <t>DHA1770</t>
  </si>
  <si>
    <t>DHA1775</t>
  </si>
  <si>
    <t>DHA1780</t>
  </si>
  <si>
    <t>DHA1785</t>
  </si>
  <si>
    <t>Rear seat to floor</t>
  </si>
  <si>
    <t>RSTF390</t>
  </si>
  <si>
    <t>RSTF400</t>
  </si>
  <si>
    <t>DHA1815</t>
  </si>
  <si>
    <t>DHA1820</t>
  </si>
  <si>
    <t>RSTF410</t>
  </si>
  <si>
    <t>DHA1825</t>
  </si>
  <si>
    <t>RSTF420</t>
  </si>
  <si>
    <t>DHA1830</t>
  </si>
  <si>
    <t>RSTF430</t>
  </si>
  <si>
    <t>DHA1835</t>
  </si>
  <si>
    <t>RSTF440</t>
  </si>
  <si>
    <t>DHA1840</t>
  </si>
  <si>
    <t>RSTF450</t>
  </si>
  <si>
    <t>DHA1845</t>
  </si>
  <si>
    <t>RSTF460</t>
  </si>
  <si>
    <t>DHA1850</t>
  </si>
  <si>
    <t>RSTF470</t>
  </si>
  <si>
    <t>DHA1855</t>
  </si>
  <si>
    <t>RSTF480</t>
  </si>
  <si>
    <t>DHA1860</t>
  </si>
  <si>
    <t>Lower leg length</t>
  </si>
  <si>
    <t>LLL320</t>
  </si>
  <si>
    <t>LLL340</t>
  </si>
  <si>
    <t>LLL360</t>
  </si>
  <si>
    <t>LLL380</t>
  </si>
  <si>
    <t>LLL400</t>
  </si>
  <si>
    <t>LLL420</t>
  </si>
  <si>
    <t>LLL440</t>
  </si>
  <si>
    <t>LLL460</t>
  </si>
  <si>
    <t>LLL480</t>
  </si>
  <si>
    <t>LLL500</t>
  </si>
  <si>
    <t>DHA1924</t>
  </si>
  <si>
    <t>DHA1926</t>
  </si>
  <si>
    <t>DHA1928</t>
  </si>
  <si>
    <t>DHA1930</t>
  </si>
  <si>
    <t>DHA1932</t>
  </si>
  <si>
    <t>DHA1934</t>
  </si>
  <si>
    <t>DHA1936</t>
  </si>
  <si>
    <t>DHA1938</t>
  </si>
  <si>
    <t>DHA1940</t>
  </si>
  <si>
    <t>DHA1942</t>
  </si>
  <si>
    <t>LLL330</t>
  </si>
  <si>
    <t>LLL350</t>
  </si>
  <si>
    <t>LLL370</t>
  </si>
  <si>
    <t>LLL390</t>
  </si>
  <si>
    <t>LLL410</t>
  </si>
  <si>
    <t>DHA1944</t>
  </si>
  <si>
    <t>LLL430</t>
  </si>
  <si>
    <t>DHA1946</t>
  </si>
  <si>
    <t>DHA1948</t>
  </si>
  <si>
    <t>LLL450</t>
  </si>
  <si>
    <t>DHA1950</t>
  </si>
  <si>
    <t>LLL470</t>
  </si>
  <si>
    <t>DHA1952</t>
  </si>
  <si>
    <t>DHA1954</t>
  </si>
  <si>
    <t>DHA1956</t>
  </si>
  <si>
    <t>LLL490</t>
  </si>
  <si>
    <t>DHA1958</t>
  </si>
  <si>
    <t>DHA1960</t>
  </si>
  <si>
    <t>L=</t>
  </si>
  <si>
    <t>M=</t>
  </si>
  <si>
    <t>N</t>
  </si>
  <si>
    <t>N=</t>
  </si>
  <si>
    <t>O</t>
  </si>
  <si>
    <t>P</t>
  </si>
  <si>
    <t>O=</t>
  </si>
  <si>
    <t>P=</t>
  </si>
  <si>
    <t>Rear wheel position</t>
  </si>
  <si>
    <t>DHA6100</t>
  </si>
  <si>
    <t>DHA6110</t>
  </si>
  <si>
    <t>DHA6120</t>
  </si>
  <si>
    <t>DHA6130</t>
  </si>
  <si>
    <t>DHA6140</t>
  </si>
  <si>
    <t>DHA6150</t>
  </si>
  <si>
    <t>DHA6160</t>
  </si>
  <si>
    <t>DHA6170</t>
  </si>
  <si>
    <t>DHA6180</t>
  </si>
  <si>
    <t>Distance between axle and seat uph.</t>
  </si>
  <si>
    <t>L</t>
  </si>
  <si>
    <t>Footrest position</t>
  </si>
  <si>
    <t>DHA3240</t>
  </si>
  <si>
    <t>DHA3250</t>
  </si>
  <si>
    <t>M</t>
  </si>
  <si>
    <t>T</t>
  </si>
  <si>
    <t>Seat upholstery length</t>
  </si>
  <si>
    <t>Distance between seat uph. and footplate for 90°</t>
  </si>
  <si>
    <t>Projection UL with seat angle for 90°</t>
  </si>
  <si>
    <t>Vertical LLL</t>
  </si>
  <si>
    <t>S=</t>
  </si>
  <si>
    <t>T=</t>
  </si>
  <si>
    <t>U=</t>
  </si>
  <si>
    <t>V=</t>
  </si>
  <si>
    <t>Delta 90°/75° in relation with LLL</t>
  </si>
  <si>
    <t>Delta 90°/75° in relation with SD</t>
  </si>
  <si>
    <t>Delta 90°/75° total</t>
  </si>
  <si>
    <t>Projection U with seat angle for 75°</t>
  </si>
  <si>
    <t>Only for 75°</t>
  </si>
  <si>
    <t>M 90°</t>
  </si>
  <si>
    <t>S</t>
  </si>
  <si>
    <t>a=</t>
  </si>
  <si>
    <t>LLL</t>
  </si>
  <si>
    <t>a°</t>
  </si>
  <si>
    <t>a rad</t>
  </si>
  <si>
    <t>U</t>
  </si>
  <si>
    <t>V</t>
  </si>
  <si>
    <t>ESSAI 1 SUR SOLIDWORKS= 230.19 sur excel pour 227.2 sur SW (Flan 75°)(Calcul uniquement sur potence)</t>
  </si>
  <si>
    <t>Radius</t>
  </si>
  <si>
    <t>Q=</t>
  </si>
  <si>
    <t>à soustraire</t>
  </si>
  <si>
    <t>Q</t>
  </si>
  <si>
    <t>Q:</t>
  </si>
  <si>
    <t>125.5= valeur médiane représentant le reglage KT3900-014</t>
  </si>
  <si>
    <t>Seat angle</t>
  </si>
  <si>
    <t>ESSAI 2 SUR SOLIDWORKS= 902mm sur excel pour 899 sur SW (Flan 90°)</t>
  </si>
  <si>
    <r>
      <t xml:space="preserve">Rotation of seat support with seat angle </t>
    </r>
    <r>
      <rPr>
        <i/>
        <sz val="11"/>
        <color rgb="FFFF0000"/>
        <rFont val="Titillium Web"/>
      </rPr>
      <t>(Erreur de quelques mm)</t>
    </r>
  </si>
  <si>
    <t>ESSAI 3 REEL= 945mm sur excel et identique sur fauteuil (Flan 75°/SD40/FSTF500/RSTF460/UL470/P5</t>
  </si>
  <si>
    <t>ESSAI 4 REEL= 890mm sur excel et identique sur fauteuil (Flan 90°/SD400/FSTF500/RSTF430/UL430/P7</t>
  </si>
  <si>
    <t>ESSAI 5 REEL= 973mm sur excel et identique sur fauteuil (Flan 75°/SD460/FSTF460/RSTF440/UL420/P5</t>
  </si>
  <si>
    <t>DHA2400</t>
  </si>
  <si>
    <t>DHA2410</t>
  </si>
  <si>
    <t>DHA2420</t>
  </si>
  <si>
    <t>DHA2450</t>
  </si>
  <si>
    <t>DHA2510</t>
  </si>
  <si>
    <t>DHA2530</t>
  </si>
  <si>
    <t>DHA2550</t>
  </si>
  <si>
    <t>DHA2570</t>
  </si>
  <si>
    <t>DHA2590</t>
  </si>
  <si>
    <t>Push handles</t>
  </si>
  <si>
    <t>Backrest angle</t>
  </si>
  <si>
    <t>76°</t>
  </si>
  <si>
    <t>80.5°</t>
  </si>
  <si>
    <t>85°</t>
  </si>
  <si>
    <t>89.5°</t>
  </si>
  <si>
    <t>94°</t>
  </si>
  <si>
    <t>BH</t>
  </si>
  <si>
    <t>b°</t>
  </si>
  <si>
    <t>H</t>
  </si>
  <si>
    <t>Backrest height</t>
  </si>
  <si>
    <t>FSTF</t>
  </si>
  <si>
    <t>RSTF</t>
  </si>
  <si>
    <t>PH</t>
  </si>
  <si>
    <t>STD 80°</t>
  </si>
  <si>
    <t>STD 70°</t>
  </si>
  <si>
    <t>ADD 80°</t>
  </si>
  <si>
    <t>ADD 70°</t>
  </si>
  <si>
    <t>Longueur toile</t>
  </si>
  <si>
    <t>SD</t>
  </si>
  <si>
    <t>DCA6100</t>
  </si>
  <si>
    <t>DCA6110</t>
  </si>
  <si>
    <t>DCA6120</t>
  </si>
  <si>
    <t>DCA6130</t>
  </si>
  <si>
    <t>DCA6140</t>
  </si>
  <si>
    <t>DCA6150</t>
  </si>
  <si>
    <t>SD320</t>
  </si>
  <si>
    <t>SD500</t>
  </si>
  <si>
    <t>DCA1400</t>
  </si>
  <si>
    <t>DCA1405</t>
  </si>
  <si>
    <t>DCA1415</t>
  </si>
  <si>
    <t>DCA1425</t>
  </si>
  <si>
    <t>DCA1435</t>
  </si>
  <si>
    <t>DCA1445</t>
  </si>
  <si>
    <t>DCA1460</t>
  </si>
  <si>
    <t>DCA1470</t>
  </si>
  <si>
    <t>DCA1480</t>
  </si>
  <si>
    <t>DCA1490</t>
  </si>
  <si>
    <t>Distance entre position et avant toile</t>
  </si>
  <si>
    <t>Distance entre position et flan AR bas</t>
  </si>
  <si>
    <t>a° =</t>
  </si>
  <si>
    <t>Angle d'assise</t>
  </si>
  <si>
    <t>DCA1615</t>
  </si>
  <si>
    <t>DCA1620</t>
  </si>
  <si>
    <t>DCA1625</t>
  </si>
  <si>
    <t>DCA1630</t>
  </si>
  <si>
    <t>DCA1635</t>
  </si>
  <si>
    <t>DCA1640</t>
  </si>
  <si>
    <t>DCA1645</t>
  </si>
  <si>
    <t>DCA1650</t>
  </si>
  <si>
    <t>DCA1655</t>
  </si>
  <si>
    <t>DCA1660</t>
  </si>
  <si>
    <t>DCA1665</t>
  </si>
  <si>
    <t>DCA1670</t>
  </si>
  <si>
    <t>DCA1675</t>
  </si>
  <si>
    <t>DCA1680</t>
  </si>
  <si>
    <t>DCA1685</t>
  </si>
  <si>
    <t>BH480</t>
  </si>
  <si>
    <t>BH495</t>
  </si>
  <si>
    <t>BH510</t>
  </si>
  <si>
    <t>FSTF380</t>
  </si>
  <si>
    <t>FSTF390</t>
  </si>
  <si>
    <t>FSTF400</t>
  </si>
  <si>
    <t>DCA1705</t>
  </si>
  <si>
    <t>DCA1710</t>
  </si>
  <si>
    <t>DCA1715</t>
  </si>
  <si>
    <t>FSTF410</t>
  </si>
  <si>
    <t>DCA1720</t>
  </si>
  <si>
    <t>FSTF420</t>
  </si>
  <si>
    <t>DCA1725</t>
  </si>
  <si>
    <t>FSTF430</t>
  </si>
  <si>
    <t>DCA1730</t>
  </si>
  <si>
    <t>FSTF440</t>
  </si>
  <si>
    <t>DCA1735</t>
  </si>
  <si>
    <t>DCA1740</t>
  </si>
  <si>
    <t>DCA1745</t>
  </si>
  <si>
    <t>DCA1750</t>
  </si>
  <si>
    <t>DCA1755</t>
  </si>
  <si>
    <t>DCA1760</t>
  </si>
  <si>
    <t>DCA1765</t>
  </si>
  <si>
    <t>DCA1770</t>
  </si>
  <si>
    <t>DCA1775</t>
  </si>
  <si>
    <t>DCA1780</t>
  </si>
  <si>
    <t>Reart seat to floor</t>
  </si>
  <si>
    <t>RSTF380</t>
  </si>
  <si>
    <t>RSTF360</t>
  </si>
  <si>
    <t>DCA1800</t>
  </si>
  <si>
    <t>DCA1810</t>
  </si>
  <si>
    <t>DCA1820</t>
  </si>
  <si>
    <t>DCA1830</t>
  </si>
  <si>
    <t>DCA1840</t>
  </si>
  <si>
    <t>DCA1850</t>
  </si>
  <si>
    <t>DCA1860</t>
  </si>
  <si>
    <t>DCA1870</t>
  </si>
  <si>
    <t>DCA1900</t>
  </si>
  <si>
    <t>DCA1910</t>
  </si>
  <si>
    <t>DCA1920</t>
  </si>
  <si>
    <t>DCA1930</t>
  </si>
  <si>
    <t>DCA1805</t>
  </si>
  <si>
    <t>DCA1815</t>
  </si>
  <si>
    <t>DCA1825</t>
  </si>
  <si>
    <t>DCA1835</t>
  </si>
  <si>
    <t>DCA1845</t>
  </si>
  <si>
    <t>DCA1855</t>
  </si>
  <si>
    <t>DCA1865</t>
  </si>
  <si>
    <t>RSTF500</t>
  </si>
  <si>
    <t>RSTF490</t>
  </si>
  <si>
    <t>RSTF370</t>
  </si>
  <si>
    <t>LLL200</t>
  </si>
  <si>
    <t>LLL210</t>
  </si>
  <si>
    <t>LLL220</t>
  </si>
  <si>
    <t>LLL230</t>
  </si>
  <si>
    <t>LLL240</t>
  </si>
  <si>
    <t>LLL250</t>
  </si>
  <si>
    <t>LLL260</t>
  </si>
  <si>
    <t>LLL270</t>
  </si>
  <si>
    <t>LLL280</t>
  </si>
  <si>
    <t>LLL290</t>
  </si>
  <si>
    <t>LLL300</t>
  </si>
  <si>
    <t>LLL310</t>
  </si>
  <si>
    <t>LLL510</t>
  </si>
  <si>
    <t>DCA1902</t>
  </si>
  <si>
    <t>DCA1904</t>
  </si>
  <si>
    <t>DCA1906</t>
  </si>
  <si>
    <t>DCA1908</t>
  </si>
  <si>
    <t>DCA1912</t>
  </si>
  <si>
    <t>DCA1914</t>
  </si>
  <si>
    <t>DCA1916</t>
  </si>
  <si>
    <t>DCA1918</t>
  </si>
  <si>
    <t>DCA1922</t>
  </si>
  <si>
    <t>DCA1924</t>
  </si>
  <si>
    <t>DCA1926</t>
  </si>
  <si>
    <t>DCA1928</t>
  </si>
  <si>
    <t>DCA1932</t>
  </si>
  <si>
    <t>DCA1934</t>
  </si>
  <si>
    <t>DCA1936</t>
  </si>
  <si>
    <t>DCA1938</t>
  </si>
  <si>
    <t>DCA1940</t>
  </si>
  <si>
    <t>DCA1942</t>
  </si>
  <si>
    <t>DCA1944</t>
  </si>
  <si>
    <t>DCA1946</t>
  </si>
  <si>
    <t>DCA1948</t>
  </si>
  <si>
    <t>DCA1950</t>
  </si>
  <si>
    <t>DCA1952</t>
  </si>
  <si>
    <t>DCA1954</t>
  </si>
  <si>
    <t>DCA1956</t>
  </si>
  <si>
    <t>DCA1958</t>
  </si>
  <si>
    <t>DCA1960</t>
  </si>
  <si>
    <t>DCA1962</t>
  </si>
  <si>
    <t>DCA0100</t>
  </si>
  <si>
    <t>DCA2120</t>
  </si>
  <si>
    <t>82°</t>
  </si>
  <si>
    <t>86°</t>
  </si>
  <si>
    <t>90°</t>
  </si>
  <si>
    <t>98°</t>
  </si>
  <si>
    <t>102°</t>
  </si>
  <si>
    <t>DCA2155</t>
  </si>
  <si>
    <t>DCA2160</t>
  </si>
  <si>
    <t>DCA2165</t>
  </si>
  <si>
    <t>DCA2170</t>
  </si>
  <si>
    <t>DCA2175</t>
  </si>
  <si>
    <t>DCA2180</t>
  </si>
  <si>
    <t>Delta croisillon avant haut / bas</t>
  </si>
  <si>
    <t>SD380 500</t>
  </si>
  <si>
    <t>*Palette reglé vers l'arrière</t>
  </si>
  <si>
    <t>*Palette reglé vers l'avant</t>
  </si>
  <si>
    <t>mm</t>
  </si>
  <si>
    <t>Delta</t>
  </si>
  <si>
    <t>Palette plastique</t>
  </si>
  <si>
    <t>80°</t>
  </si>
  <si>
    <t>Position</t>
  </si>
  <si>
    <t>Distance</t>
  </si>
  <si>
    <t>Recoupe D du croisillon pour angle d'assise</t>
  </si>
  <si>
    <t>70°</t>
  </si>
  <si>
    <t>Test</t>
  </si>
  <si>
    <t>Incrémentation 70° vs UL</t>
  </si>
  <si>
    <t>Incrémentation 80° vs UL</t>
  </si>
  <si>
    <t>Coeff de S par rapport à l'incrémentation de l'UL</t>
  </si>
  <si>
    <t>Valeur STD de l'UL mini en X</t>
  </si>
  <si>
    <t>R 70</t>
  </si>
  <si>
    <t>R 80</t>
  </si>
  <si>
    <t>R70=</t>
  </si>
  <si>
    <t>R80=</t>
  </si>
  <si>
    <t>Valeur supp. de l'UL en X liée à l'incrémentation de la profondeur d'assise pour flan 70°</t>
  </si>
  <si>
    <t>Valeur supp. de l'UL en X liée à l'incrémentation de la profondeur d'assise pour flan 80°</t>
  </si>
  <si>
    <t>R</t>
  </si>
  <si>
    <t>DCA2400</t>
  </si>
  <si>
    <t>DCA2410</t>
  </si>
  <si>
    <t>DCA2420</t>
  </si>
  <si>
    <t>DCA2450</t>
  </si>
  <si>
    <t>Hauteur Y de l'UL</t>
  </si>
  <si>
    <r>
      <t xml:space="preserve">Formule= </t>
    </r>
    <r>
      <rPr>
        <sz val="11"/>
        <color rgb="FFFF0000"/>
        <rFont val="Titillium Web"/>
      </rPr>
      <t xml:space="preserve">(Cos a x (L-P)) - Q </t>
    </r>
    <r>
      <rPr>
        <sz val="11"/>
        <rFont val="Titillium Web"/>
      </rPr>
      <t>+</t>
    </r>
    <r>
      <rPr>
        <sz val="11"/>
        <color rgb="FFFF0000"/>
        <rFont val="Titillium Web"/>
      </rPr>
      <t xml:space="preserve"> </t>
    </r>
    <r>
      <rPr>
        <sz val="11"/>
        <color theme="9" tint="-0.499984740745262"/>
        <rFont val="Titillium Web"/>
      </rPr>
      <t>(M x cos a) + N + footplate</t>
    </r>
    <r>
      <rPr>
        <sz val="11"/>
        <color theme="1"/>
        <rFont val="Titillium Web"/>
      </rPr>
      <t xml:space="preserve"> + Radius + </t>
    </r>
    <r>
      <rPr>
        <sz val="11"/>
        <color theme="4"/>
        <rFont val="Titillium Web"/>
      </rPr>
      <t>(U x V x cos a)</t>
    </r>
  </si>
  <si>
    <t>Distance devant toile à devant de la palette sans prise en compte de l'angle d'assise</t>
  </si>
  <si>
    <r>
      <t xml:space="preserve">Formule: </t>
    </r>
    <r>
      <rPr>
        <sz val="11"/>
        <color theme="4"/>
        <rFont val="Titillium Web"/>
      </rPr>
      <t>(M x cos a) - ((RSTF - Radius) x sin a)</t>
    </r>
    <r>
      <rPr>
        <sz val="11"/>
        <color theme="1"/>
        <rFont val="Titillium Web"/>
      </rPr>
      <t xml:space="preserve"> + Radius + </t>
    </r>
    <r>
      <rPr>
        <sz val="11"/>
        <color rgb="FFFF0000"/>
        <rFont val="Titillium Web"/>
      </rPr>
      <t>(U x cos a) + (T x sin a)</t>
    </r>
  </si>
  <si>
    <t>Frame</t>
  </si>
  <si>
    <t>SD350</t>
  </si>
  <si>
    <t>SD375</t>
  </si>
  <si>
    <t>SD425</t>
  </si>
  <si>
    <t>SD450</t>
  </si>
  <si>
    <t>SD475</t>
  </si>
  <si>
    <t>SD525</t>
  </si>
  <si>
    <t>DKA1410</t>
  </si>
  <si>
    <t>DKA1435</t>
  </si>
  <si>
    <t>DKA1420</t>
  </si>
  <si>
    <t>DKA1450</t>
  </si>
  <si>
    <t>DKA1465</t>
  </si>
  <si>
    <t>DKA1475</t>
  </si>
  <si>
    <t>DKA1490</t>
  </si>
  <si>
    <t>DKA1495</t>
  </si>
  <si>
    <t>Seat position</t>
  </si>
  <si>
    <t>DKA1500</t>
  </si>
  <si>
    <t>DKA2500</t>
  </si>
  <si>
    <t>DKA1510</t>
  </si>
  <si>
    <t>DKA1520</t>
  </si>
  <si>
    <t>DKA1530</t>
  </si>
  <si>
    <t>DKA1540</t>
  </si>
  <si>
    <t>BH270</t>
  </si>
  <si>
    <t>BH285</t>
  </si>
  <si>
    <t>DKA1605</t>
  </si>
  <si>
    <t>DKA1610</t>
  </si>
  <si>
    <t>DKA1615</t>
  </si>
  <si>
    <t>DKA1620</t>
  </si>
  <si>
    <t>DKA1625</t>
  </si>
  <si>
    <t>DKA1630</t>
  </si>
  <si>
    <t>DKA1635</t>
  </si>
  <si>
    <t>DKA1640</t>
  </si>
  <si>
    <t>DKA1645</t>
  </si>
  <si>
    <t>DKA1650</t>
  </si>
  <si>
    <t>DKA1655</t>
  </si>
  <si>
    <t>DKA1660</t>
  </si>
  <si>
    <t>DKA1665</t>
  </si>
  <si>
    <t>DKA1670</t>
  </si>
  <si>
    <t>DKA1675</t>
  </si>
  <si>
    <t>DKA1740</t>
  </si>
  <si>
    <t>DKA1745</t>
  </si>
  <si>
    <t>DKA1750</t>
  </si>
  <si>
    <t>DKA1755</t>
  </si>
  <si>
    <t>DKA1760</t>
  </si>
  <si>
    <t>DKA1765</t>
  </si>
  <si>
    <t>DKA1770</t>
  </si>
  <si>
    <t>DKA1775</t>
  </si>
  <si>
    <t>DKA1815</t>
  </si>
  <si>
    <t>DKA1820</t>
  </si>
  <si>
    <t>DKA1825</t>
  </si>
  <si>
    <t>DKA1830</t>
  </si>
  <si>
    <t>DKA1835</t>
  </si>
  <si>
    <t>DKA1840</t>
  </si>
  <si>
    <t>DKA1845</t>
  </si>
  <si>
    <t>DKA1850</t>
  </si>
  <si>
    <t>DKA1855</t>
  </si>
  <si>
    <t>DKA1860</t>
  </si>
  <si>
    <t>DKA1865</t>
  </si>
  <si>
    <t>DKA1918</t>
  </si>
  <si>
    <t>DKA1920</t>
  </si>
  <si>
    <t>DKA1922</t>
  </si>
  <si>
    <t>DKA1924</t>
  </si>
  <si>
    <t>DKA1926</t>
  </si>
  <si>
    <t>DKA1928</t>
  </si>
  <si>
    <t>DKA1930</t>
  </si>
  <si>
    <t>DKA1932</t>
  </si>
  <si>
    <t>DKA1934</t>
  </si>
  <si>
    <t>DKA1936</t>
  </si>
  <si>
    <t>DKA1938</t>
  </si>
  <si>
    <t>DKA1940</t>
  </si>
  <si>
    <t>DKA1942</t>
  </si>
  <si>
    <t>DKA1944</t>
  </si>
  <si>
    <t>DKA1946</t>
  </si>
  <si>
    <t>DKA1948</t>
  </si>
  <si>
    <t>DKA1950</t>
  </si>
  <si>
    <t>DKA1952</t>
  </si>
  <si>
    <t>DKA1954</t>
  </si>
  <si>
    <t>DKA1956</t>
  </si>
  <si>
    <t>DKA2400</t>
  </si>
  <si>
    <t>DKA2410</t>
  </si>
  <si>
    <t>DKA2420</t>
  </si>
  <si>
    <t>DKA2450</t>
  </si>
  <si>
    <t>74°</t>
  </si>
  <si>
    <t>78°</t>
  </si>
  <si>
    <t>DKA2520</t>
  </si>
  <si>
    <t>DKA2540</t>
  </si>
  <si>
    <t>DKA2560</t>
  </si>
  <si>
    <t>DKA2580</t>
  </si>
  <si>
    <t>DKA2590</t>
  </si>
  <si>
    <t>Position of first axle</t>
  </si>
  <si>
    <t>DKA6110</t>
  </si>
  <si>
    <t>DKA6100</t>
  </si>
  <si>
    <t>DKA6120</t>
  </si>
  <si>
    <t>DKA6130</t>
  </si>
  <si>
    <t>DKA6140</t>
  </si>
  <si>
    <t>Footrest</t>
  </si>
  <si>
    <t>Foot pos.</t>
  </si>
  <si>
    <t>DKA1040/1050</t>
  </si>
  <si>
    <t>DKA1060</t>
  </si>
  <si>
    <t>DKA1070/1080</t>
  </si>
  <si>
    <t>DKA1090</t>
  </si>
  <si>
    <t>Frame C</t>
  </si>
  <si>
    <t>Frame E</t>
  </si>
  <si>
    <t>Frame α°</t>
  </si>
  <si>
    <t>Frame α2°</t>
  </si>
  <si>
    <t>SW</t>
  </si>
  <si>
    <t>Seat uph. length</t>
  </si>
  <si>
    <t>Frame α2rd</t>
  </si>
  <si>
    <t>Frame αrd</t>
  </si>
  <si>
    <t>Ez</t>
  </si>
  <si>
    <t>Ez=</t>
  </si>
  <si>
    <t>Distance following axle Z for point E from the floor</t>
  </si>
  <si>
    <t>Gap E to FSTF following axle Z</t>
  </si>
  <si>
    <t>Gz=</t>
  </si>
  <si>
    <t>Reglage bracket avant (from Hole E to FSTF)</t>
  </si>
  <si>
    <t>Gx=</t>
  </si>
  <si>
    <t>Gap E to FSTF following axle X</t>
  </si>
  <si>
    <t>Ga=</t>
  </si>
  <si>
    <t>bleu = distance en X entre axe de roue et avant toile</t>
  </si>
  <si>
    <t xml:space="preserve">Frame 75° Standard </t>
  </si>
  <si>
    <t>Aver.</t>
  </si>
  <si>
    <t>Footplate adj. 8°</t>
  </si>
  <si>
    <t>Test showrooms</t>
  </si>
  <si>
    <t>1/ Palette carbone sur compact</t>
  </si>
  <si>
    <t>Frame 75° Short</t>
  </si>
  <si>
    <t>500+50</t>
  </si>
  <si>
    <t>475+50</t>
  </si>
  <si>
    <t>425+50</t>
  </si>
  <si>
    <t>450+50</t>
  </si>
  <si>
    <t>525+50</t>
  </si>
  <si>
    <t>Tube length</t>
  </si>
  <si>
    <t>Gap vs SD</t>
  </si>
  <si>
    <t>P2</t>
  </si>
  <si>
    <t>P1</t>
  </si>
  <si>
    <t>P3</t>
  </si>
  <si>
    <t>P2:</t>
  </si>
  <si>
    <t>P3:</t>
  </si>
  <si>
    <t>Décalage de la gravité en relation avec la profondeur d'assise pour flan standard et short</t>
  </si>
  <si>
    <t>Décalage de la gravité en relation avec la profondeur d'assise pour flan +50mm</t>
  </si>
  <si>
    <t>Frame 75° +50mm</t>
  </si>
  <si>
    <t>Footplate std 80° (SD425+50)</t>
  </si>
  <si>
    <t>Footplate std 80° (SD525+50)</t>
  </si>
  <si>
    <t>1 (12)</t>
  </si>
  <si>
    <t>1 (112)</t>
  </si>
  <si>
    <t>5 (172)</t>
  </si>
  <si>
    <t>Footplate std 80° (SD475+50)</t>
  </si>
  <si>
    <t>1 (62)</t>
  </si>
  <si>
    <t>5 (122)</t>
  </si>
  <si>
    <t>DKA3200</t>
  </si>
  <si>
    <t>DKA3210</t>
  </si>
  <si>
    <t>DKA3220</t>
  </si>
  <si>
    <t>DKA3230</t>
  </si>
  <si>
    <t>Titane</t>
  </si>
  <si>
    <t>Impact type de palette sur longueur en X de l'UL</t>
  </si>
  <si>
    <t>Footplate std 80° (FSTF480/RSTF440/SD375)</t>
  </si>
  <si>
    <t>Footplate std 80° (FSTF480/RSTF440/SD475)</t>
  </si>
  <si>
    <t>1(12)</t>
  </si>
  <si>
    <t>5(72)</t>
  </si>
  <si>
    <t>Footplate adj. 8° (FSTF480/RSTF440/SD475)</t>
  </si>
  <si>
    <t>NA</t>
  </si>
  <si>
    <t>LLL 75° std</t>
  </si>
  <si>
    <t>LLL 75° +50</t>
  </si>
  <si>
    <t>LLL75° short</t>
  </si>
  <si>
    <t>SD  75° std</t>
  </si>
  <si>
    <t>SD  75° +50</t>
  </si>
  <si>
    <t>SD  75° short</t>
  </si>
  <si>
    <t>Footplate std 80° Footplate std 80° (FSTF480/RSTF440/SD475)</t>
  </si>
  <si>
    <t>P23</t>
  </si>
  <si>
    <t>LLL 90° std</t>
  </si>
  <si>
    <t>LLL 90° +50</t>
  </si>
  <si>
    <t>LLL90° short</t>
  </si>
  <si>
    <t>SD  90° std</t>
  </si>
  <si>
    <t>SD  90° +50</t>
  </si>
  <si>
    <t>SD  90° short</t>
  </si>
  <si>
    <t>Ulx</t>
  </si>
  <si>
    <t xml:space="preserve">Frame 90° Standard </t>
  </si>
  <si>
    <t>Footplate std 94° (FSTF480/RSTF440/SD375)</t>
  </si>
  <si>
    <t>Footplate std 94° (FSTF480/RSTF440/SD475)</t>
  </si>
  <si>
    <t>Footplate adj. 4°</t>
  </si>
  <si>
    <t>Frame 90° Short</t>
  </si>
  <si>
    <t>Footplate std 94° (SD425+50)</t>
  </si>
  <si>
    <t>Frame 90° +50mm</t>
  </si>
  <si>
    <t>Footplate std 94° (SD525+50)</t>
  </si>
  <si>
    <t>Palette</t>
  </si>
  <si>
    <t>Footrests</t>
  </si>
  <si>
    <t>DCA3260</t>
  </si>
  <si>
    <t>DCA3270</t>
  </si>
  <si>
    <t>DCA3280</t>
  </si>
  <si>
    <r>
      <t xml:space="preserve">Footplate adj. 8° </t>
    </r>
    <r>
      <rPr>
        <b/>
        <sz val="11"/>
        <color rgb="FFFF0000"/>
        <rFont val="Calibri"/>
        <family val="2"/>
        <scheme val="minor"/>
      </rPr>
      <t>REFAIRE A 8°</t>
    </r>
  </si>
  <si>
    <t>test 1: mesuré 810mm pour 795mm theor.</t>
  </si>
  <si>
    <t>test 3: mesuré 905 pour 899mm theor.</t>
  </si>
  <si>
    <t>test 4: mesuré 805 pour 793mm theor.</t>
  </si>
  <si>
    <t>test 2: mesuré 820mm " "</t>
  </si>
  <si>
    <t>test 4: mesuré 795mm pour 825mm theor.</t>
  </si>
  <si>
    <t>Longueurs</t>
  </si>
  <si>
    <t>Hauteurs</t>
  </si>
  <si>
    <t>test X: mesuré 870 pour 880mm</t>
  </si>
  <si>
    <t>test 5: mesuré 870mm pour 880mm</t>
  </si>
  <si>
    <t>test 1&amp;2: mesuré 840 pour 857mm</t>
  </si>
  <si>
    <t>rabattable</t>
  </si>
  <si>
    <t>rabatabble</t>
  </si>
  <si>
    <t>rabatable</t>
  </si>
  <si>
    <t>test 6: mesuré 755 pour 749</t>
  </si>
  <si>
    <t>test 6: mesuré 760mm pour 785mm</t>
  </si>
  <si>
    <t>without</t>
  </si>
  <si>
    <t>+15</t>
  </si>
  <si>
    <t>+25</t>
  </si>
  <si>
    <t>+6</t>
  </si>
  <si>
    <t>+12</t>
  </si>
  <si>
    <t>+11</t>
  </si>
  <si>
    <t>+10</t>
  </si>
  <si>
    <t>+5</t>
  </si>
  <si>
    <t>+2</t>
  </si>
  <si>
    <t>+1</t>
  </si>
  <si>
    <t>-4</t>
  </si>
  <si>
    <t>Z=</t>
  </si>
  <si>
    <t>Valeur arbitraire suite à tests, à ajouter à la longueur</t>
  </si>
  <si>
    <r>
      <t xml:space="preserve">Formule= </t>
    </r>
    <r>
      <rPr>
        <sz val="11"/>
        <color rgb="FF0070C0"/>
        <rFont val="Titillium Web"/>
      </rPr>
      <t xml:space="preserve">((E+48)xcos α2) - (11 x sinα2) + </t>
    </r>
    <r>
      <rPr>
        <sz val="11"/>
        <color rgb="FF00B050"/>
        <rFont val="Titillium Web"/>
      </rPr>
      <t>Gx</t>
    </r>
    <r>
      <rPr>
        <sz val="11"/>
        <color theme="1"/>
        <rFont val="Titillium Web"/>
      </rPr>
      <t xml:space="preserve"> + </t>
    </r>
    <r>
      <rPr>
        <sz val="11"/>
        <color rgb="FFFF0000"/>
        <rFont val="Titillium Web"/>
      </rPr>
      <t>(Valeur initial + (coef LLL * gap UL) - (coef SD * (P + P23 -12)))</t>
    </r>
    <r>
      <rPr>
        <sz val="11"/>
        <color theme="1"/>
        <rFont val="Titillium Web"/>
      </rPr>
      <t xml:space="preserve"> + Radius + </t>
    </r>
    <r>
      <rPr>
        <sz val="11"/>
        <color theme="7"/>
        <rFont val="Titillium Web"/>
      </rPr>
      <t>Palette</t>
    </r>
    <r>
      <rPr>
        <sz val="11"/>
        <color theme="1"/>
        <rFont val="Titillium Web"/>
      </rPr>
      <t xml:space="preserve"> + Z</t>
    </r>
  </si>
  <si>
    <t>+17</t>
  </si>
  <si>
    <t>+30</t>
  </si>
  <si>
    <t>Y=</t>
  </si>
  <si>
    <t>X=</t>
  </si>
  <si>
    <t>Valeur arbitraire suite à tests, à soustraire à la hauteur</t>
  </si>
  <si>
    <t>Valeur arbitraire suite à test, à soustraire à la hauteur</t>
  </si>
  <si>
    <t>Valeur arbitraire à soustraire à la hauteur, suite à tests</t>
  </si>
  <si>
    <t>SD385</t>
  </si>
  <si>
    <t>SD410</t>
  </si>
  <si>
    <t>SD435</t>
  </si>
  <si>
    <t>SD485</t>
  </si>
  <si>
    <t>DSA0414</t>
  </si>
  <si>
    <t>DSA0417</t>
  </si>
  <si>
    <t>DSA0420</t>
  </si>
  <si>
    <t>DSA0423</t>
  </si>
  <si>
    <t>DSA0426</t>
  </si>
  <si>
    <t>DSA1605</t>
  </si>
  <si>
    <t>DSA1610</t>
  </si>
  <si>
    <t>DSA1615</t>
  </si>
  <si>
    <t>DSA1620</t>
  </si>
  <si>
    <t>DSA1625</t>
  </si>
  <si>
    <t>DSA1630</t>
  </si>
  <si>
    <t>DSA1635</t>
  </si>
  <si>
    <t>DSA1640</t>
  </si>
  <si>
    <t>DSA1645</t>
  </si>
  <si>
    <t>DSA1650</t>
  </si>
  <si>
    <t>DSA1655</t>
  </si>
  <si>
    <t>DSA1820</t>
  </si>
  <si>
    <t>DSA1825</t>
  </si>
  <si>
    <t>DSA1830</t>
  </si>
  <si>
    <t>DSA1835</t>
  </si>
  <si>
    <t>DSA1840</t>
  </si>
  <si>
    <t>DSA1845</t>
  </si>
  <si>
    <t>DSA1850</t>
  </si>
  <si>
    <t>DSA1855</t>
  </si>
  <si>
    <t>DSA1860</t>
  </si>
  <si>
    <t>DSA1930</t>
  </si>
  <si>
    <t>DSA1932</t>
  </si>
  <si>
    <t>DSA1934</t>
  </si>
  <si>
    <t>DSA1936</t>
  </si>
  <si>
    <t>DSA1938</t>
  </si>
  <si>
    <t>DSA1940</t>
  </si>
  <si>
    <t>DSA1942</t>
  </si>
  <si>
    <t>DSA1944</t>
  </si>
  <si>
    <t>DSA1946</t>
  </si>
  <si>
    <t>DSA1948</t>
  </si>
  <si>
    <t>DSA1950</t>
  </si>
  <si>
    <t>DSA1952</t>
  </si>
  <si>
    <t>DSA1954</t>
  </si>
  <si>
    <t>DSA1956</t>
  </si>
  <si>
    <t>DSA1958</t>
  </si>
  <si>
    <t>DSA1960</t>
  </si>
  <si>
    <t>DSA2400</t>
  </si>
  <si>
    <t>DSA2410</t>
  </si>
  <si>
    <t>DSA2420</t>
  </si>
  <si>
    <t>DSA2450</t>
  </si>
  <si>
    <t>DSA2500</t>
  </si>
  <si>
    <t>DSA2520</t>
  </si>
  <si>
    <t>DSA2540</t>
  </si>
  <si>
    <t>DSA2560</t>
  </si>
  <si>
    <t>DSA2580</t>
  </si>
  <si>
    <t>DSA3200</t>
  </si>
  <si>
    <t>DSA3210</t>
  </si>
  <si>
    <t>DSA3220</t>
  </si>
  <si>
    <t>DSA6100</t>
  </si>
  <si>
    <t>DSA6110</t>
  </si>
  <si>
    <t>DSA6120</t>
  </si>
  <si>
    <t>DSA6130</t>
  </si>
  <si>
    <t>DSA6140</t>
  </si>
  <si>
    <t>test A: mesuré 825 pour 851mm théorique</t>
  </si>
  <si>
    <t>test B: mesuré 875 pour 905mm</t>
  </si>
  <si>
    <t>-26</t>
  </si>
  <si>
    <t>-30</t>
  </si>
  <si>
    <t>test 5: mesuré 880 pour 891 theor.</t>
  </si>
  <si>
    <t>-16</t>
  </si>
  <si>
    <t>-20</t>
  </si>
  <si>
    <t>Type de châssis</t>
  </si>
  <si>
    <t xml:space="preserve">Hauteur d'assise avant (FSTF) </t>
  </si>
  <si>
    <t xml:space="preserve">Hauteur d'assise arrière (RSTF) </t>
  </si>
  <si>
    <t xml:space="preserve">Distance UL (LLL) </t>
  </si>
  <si>
    <t xml:space="preserve">Type de dossier / Angle de dossier </t>
  </si>
  <si>
    <t xml:space="preserve">Position de roues arrière </t>
  </si>
  <si>
    <t xml:space="preserve">Diamètre de roues arrière </t>
  </si>
  <si>
    <t xml:space="preserve">Type de roues arrière </t>
  </si>
  <si>
    <t>Types de mains-courantes</t>
  </si>
  <si>
    <t xml:space="preserve">Carrossage </t>
  </si>
  <si>
    <t>LARGEUR HT :</t>
  </si>
  <si>
    <t>LONGUEUR HT :</t>
  </si>
  <si>
    <t>HAUTEUR HT :</t>
  </si>
  <si>
    <t>ANGLE DE DOSSIER** :</t>
  </si>
  <si>
    <t>Largeur d'assise (SW)</t>
  </si>
  <si>
    <t>Profondeur d'assise (SD)</t>
  </si>
  <si>
    <t xml:space="preserve">Hauteur de dossier (BH) </t>
  </si>
  <si>
    <t>Tolérances / informations complémentaires</t>
  </si>
  <si>
    <t>Veuillez prévoir une tolérance totale de 10 mm</t>
  </si>
  <si>
    <t>Pour un montage des mains-courantes avec écartement à 40 mm, veuillez rajouter 20 mm à la largeur hors-tout calculée</t>
  </si>
  <si>
    <t>Motorisations alber = ajouter environ 20 mm à la largeur hors-tout calculée</t>
  </si>
  <si>
    <t xml:space="preserve">Avec option freins tambour, largeur HT = Largeur d'assise (SW) + 170 mm </t>
  </si>
  <si>
    <t>** Angle de dossier mésuré par rapport au sol</t>
  </si>
  <si>
    <t>** Peut être erronée en raison de la tolérence de production de +/- 10 mm sur la hauteur d'assise avant FSTF et sur la hauteur d'assise arrière RSTF</t>
  </si>
  <si>
    <t>Paramètres non disponibles :</t>
  </si>
  <si>
    <t>Roues arrière Mountain Bike</t>
  </si>
  <si>
    <t>Option Kit Dual HR : double mains-courantes</t>
  </si>
  <si>
    <t>Repose-jambes réglables en inclinaison</t>
  </si>
  <si>
    <t>Poignées à pousser réglables en hauteur, externes (DCA2430)</t>
  </si>
  <si>
    <t>Poignées à pousser réglables en hauteur, intégrées (DCA2440)</t>
  </si>
  <si>
    <t>Dossiers Matrx</t>
  </si>
  <si>
    <t xml:space="preserve">Fabricatons spéciales </t>
  </si>
  <si>
    <t>Pour information</t>
  </si>
  <si>
    <t xml:space="preserve">Type de châssis </t>
  </si>
  <si>
    <t xml:space="preserve">Profondeur d'assise (SD) </t>
  </si>
  <si>
    <t>Hauteur de dossier (BH)</t>
  </si>
  <si>
    <t>Type de dossier</t>
  </si>
  <si>
    <t>Angle de dossier</t>
  </si>
  <si>
    <t>Position du centre de gravité</t>
  </si>
  <si>
    <t xml:space="preserve">Position de la palette </t>
  </si>
  <si>
    <t xml:space="preserve">Type d'accoudoirs </t>
  </si>
  <si>
    <t>Diamètre de roues arrière</t>
  </si>
  <si>
    <t>Type de roues arrière</t>
  </si>
  <si>
    <t xml:space="preserve">Type de mains-courantes </t>
  </si>
  <si>
    <t>Roulette anti-bascule</t>
  </si>
  <si>
    <t xml:space="preserve">=&gt; Impact sur la largeur HT </t>
  </si>
  <si>
    <t xml:space="preserve">=&gt; Impact sur la longueur HT </t>
  </si>
  <si>
    <t xml:space="preserve">=&gt; Impact sur la hauteur HT </t>
  </si>
  <si>
    <t>Roues arrière Mountain Bike'</t>
  </si>
  <si>
    <t xml:space="preserve">Type de poignées à pousser </t>
  </si>
  <si>
    <t xml:space="preserve">Angle de dossier </t>
  </si>
  <si>
    <t>Repose-pieds / Palettes*</t>
  </si>
  <si>
    <t>Type d'accoudoirs / Garbe-boue / Protège-vêtement</t>
  </si>
  <si>
    <t>Repose-pieds / Palettes***</t>
  </si>
  <si>
    <t xml:space="preserve">Type de garde-boue / Protège-vêtements </t>
  </si>
  <si>
    <t>* Si 2 barres de carrossage, le cas le plus défavorable est calculé</t>
  </si>
  <si>
    <t>*S'il y a un vario-axe, le calcul prend avec un carrossage à 0°</t>
  </si>
  <si>
    <t>Léger déport et grand déport des roues arrière (DKA6030, 6040)</t>
  </si>
  <si>
    <t>Carrossage</t>
  </si>
  <si>
    <t>PENTE D'ASSISE* :</t>
  </si>
  <si>
    <t>Oui</t>
  </si>
  <si>
    <t>Non</t>
  </si>
  <si>
    <t>Fixe</t>
  </si>
  <si>
    <t xml:space="preserve">Fixe avec courbure lombaire </t>
  </si>
  <si>
    <t xml:space="preserve">Sans poignée </t>
  </si>
  <si>
    <t>Standards courtes</t>
  </si>
  <si>
    <t>Standards longues</t>
  </si>
  <si>
    <t xml:space="preserve">Rabattables </t>
  </si>
  <si>
    <t>Palettes doubles réglables en carbone</t>
  </si>
  <si>
    <t>Palettes doubles fixes en composite</t>
  </si>
  <si>
    <t>Palette monobloc en carbone</t>
  </si>
  <si>
    <t>Accoudoirs relevables, rabattables, amovibles et réglables en hauteur</t>
  </si>
  <si>
    <t>Autres</t>
  </si>
  <si>
    <t>Actives</t>
  </si>
  <si>
    <t>High Performance</t>
  </si>
  <si>
    <t>Aluminium livrée avec roues Actives</t>
  </si>
  <si>
    <t>Anti-dérapante</t>
  </si>
  <si>
    <t xml:space="preserve">Acier inoxydable </t>
  </si>
  <si>
    <t xml:space="preserve">Aluminium anodisé </t>
  </si>
  <si>
    <t>Aluminium anodisé noir</t>
  </si>
  <si>
    <t>Châssis 75°</t>
  </si>
  <si>
    <t xml:space="preserve">Châssis 90° </t>
  </si>
  <si>
    <t xml:space="preserve">Châssis avant rétréci 75° </t>
  </si>
  <si>
    <t xml:space="preserve">Châssis avant rétréci 90° </t>
  </si>
  <si>
    <t>1/3 vers l'arrière</t>
  </si>
  <si>
    <t xml:space="preserve">2/3 vers l'arrière </t>
  </si>
  <si>
    <t>Garde-boue amovibles en carbone</t>
  </si>
  <si>
    <t>Garde-boue fixes en carbone</t>
  </si>
  <si>
    <t>Autre</t>
  </si>
  <si>
    <t>Accoudoirs courts réglables en hauteur</t>
  </si>
  <si>
    <t>Châssis 75° Standard</t>
  </si>
  <si>
    <t>Châssis 75° Court</t>
  </si>
  <si>
    <t>Châssis 75° +50mm</t>
  </si>
  <si>
    <t>Châssis 90° Standard</t>
  </si>
  <si>
    <t>Châssis 90° Court</t>
  </si>
  <si>
    <t>Châssis 90° +50mm</t>
  </si>
  <si>
    <t>Protège-vêtements / appui-bras</t>
  </si>
  <si>
    <t>Vario-axe</t>
  </si>
  <si>
    <t>Vario-axe + Vario-axe</t>
  </si>
  <si>
    <t>Vario-axe + 0°</t>
  </si>
  <si>
    <t>Vario-axe + 3°</t>
  </si>
  <si>
    <t>Repose-pieds en aluminium</t>
  </si>
  <si>
    <t>Repose-pieds en titane</t>
  </si>
  <si>
    <t>Palette monobloc en carbone réglable en angle</t>
  </si>
  <si>
    <t xml:space="preserve">Réglable en angle et rabattable </t>
  </si>
  <si>
    <t xml:space="preserve">Carrossage* </t>
  </si>
  <si>
    <t>***Mesure pour palettes en carbone réglées en 2/3 arrière par défaut. Pour un réglage en 1/3 vers l'arrière, il faut ajouter 60mm</t>
  </si>
  <si>
    <t>Palette monobloc en carbone escamotable</t>
  </si>
  <si>
    <t>PENTE D'ASSISE** :</t>
  </si>
  <si>
    <t xml:space="preserve">1 = 140 mm </t>
  </si>
  <si>
    <t xml:space="preserve">2 = 125 mm </t>
  </si>
  <si>
    <t>3 = 110 mm</t>
  </si>
  <si>
    <t xml:space="preserve">4 = 95 mm </t>
  </si>
  <si>
    <t>5 = 80 mm</t>
  </si>
  <si>
    <t xml:space="preserve">*Mesure pour palettes en composite réglées en 2/3 arrière par défaut. Pour un réglage en 1/3 vers l'arrière, il faut ajouter 30 mm
</t>
  </si>
  <si>
    <t xml:space="preserve">*Mesure pour palettes en carbone réglées en 2/3 arrière par  défaut. Pour un réglage en 1/3 vers l'arrière, il faut ajouter 60 mm
</t>
  </si>
  <si>
    <t xml:space="preserve">Angle de dossier** </t>
  </si>
  <si>
    <t>X</t>
  </si>
  <si>
    <t xml:space="preserve">Potences escamotables 70° </t>
  </si>
  <si>
    <t xml:space="preserve">Potences escamotables 80° </t>
  </si>
  <si>
    <t>DCA3000/3100</t>
  </si>
  <si>
    <t>DCA3010/3110</t>
  </si>
  <si>
    <t>Potences fixes 70°</t>
  </si>
  <si>
    <t>Potences fixes 80°</t>
  </si>
  <si>
    <t>DCA1110/1130</t>
  </si>
  <si>
    <t>DCA1120/1140</t>
  </si>
  <si>
    <t>330-420</t>
  </si>
  <si>
    <t>290-420</t>
  </si>
  <si>
    <t>330-430</t>
  </si>
  <si>
    <t>290-430</t>
  </si>
  <si>
    <t>330-440</t>
  </si>
  <si>
    <t>290-440</t>
  </si>
  <si>
    <t>340-430</t>
  </si>
  <si>
    <t>300-430</t>
  </si>
  <si>
    <t>340-440</t>
  </si>
  <si>
    <t>300-440</t>
  </si>
  <si>
    <t>340-450</t>
  </si>
  <si>
    <t>300-450</t>
  </si>
  <si>
    <t>350-440</t>
  </si>
  <si>
    <t>310-440</t>
  </si>
  <si>
    <t>350-450</t>
  </si>
  <si>
    <t>310-450</t>
  </si>
  <si>
    <t>350-460</t>
  </si>
  <si>
    <t>310-460</t>
  </si>
  <si>
    <t>75° Standard</t>
  </si>
  <si>
    <t>370-450</t>
  </si>
  <si>
    <t>330-450</t>
  </si>
  <si>
    <t>370-460</t>
  </si>
  <si>
    <t>330-460</t>
  </si>
  <si>
    <t>370-470</t>
  </si>
  <si>
    <t>330-470</t>
  </si>
  <si>
    <t>380-460</t>
  </si>
  <si>
    <t>340-460</t>
  </si>
  <si>
    <t>380-470</t>
  </si>
  <si>
    <t>340-470</t>
  </si>
  <si>
    <t>380-480</t>
  </si>
  <si>
    <t>340-480</t>
  </si>
  <si>
    <t>390-470</t>
  </si>
  <si>
    <t>350-470</t>
  </si>
  <si>
    <t>390-480</t>
  </si>
  <si>
    <t>350-480</t>
  </si>
  <si>
    <t>390-490</t>
  </si>
  <si>
    <t>350-490</t>
  </si>
  <si>
    <t>75° +50mm</t>
  </si>
  <si>
    <t>400-480</t>
  </si>
  <si>
    <t>360-480</t>
  </si>
  <si>
    <t>400-490</t>
  </si>
  <si>
    <t>360-490</t>
  </si>
  <si>
    <t>400-500</t>
  </si>
  <si>
    <t>360-500</t>
  </si>
  <si>
    <t>410-490</t>
  </si>
  <si>
    <t>370-490</t>
  </si>
  <si>
    <t>410-500</t>
  </si>
  <si>
    <t>370-500</t>
  </si>
  <si>
    <t>410-510</t>
  </si>
  <si>
    <t>370-510</t>
  </si>
  <si>
    <t>330-410</t>
  </si>
  <si>
    <t>290-410</t>
  </si>
  <si>
    <t>340-420</t>
  </si>
  <si>
    <t>300-420</t>
  </si>
  <si>
    <t>350-430</t>
  </si>
  <si>
    <t>310-430</t>
  </si>
  <si>
    <t>90° Standard</t>
  </si>
  <si>
    <t>380-440</t>
  </si>
  <si>
    <t>380-450</t>
  </si>
  <si>
    <t>390-450</t>
  </si>
  <si>
    <t>390-460</t>
  </si>
  <si>
    <t>400-460</t>
  </si>
  <si>
    <t>360-460</t>
  </si>
  <si>
    <t>400-470</t>
  </si>
  <si>
    <t>360-470</t>
  </si>
  <si>
    <t>90° +50mm</t>
  </si>
  <si>
    <t>410-470</t>
  </si>
  <si>
    <t>410-480</t>
  </si>
  <si>
    <t>370-480</t>
  </si>
  <si>
    <t>420-480</t>
  </si>
  <si>
    <t>420-490</t>
  </si>
  <si>
    <t>380-490</t>
  </si>
  <si>
    <t>420-500</t>
  </si>
  <si>
    <t>380-500</t>
  </si>
  <si>
    <t>Tableau de type de châssis en fonction de la configuration du fauteuil  :</t>
  </si>
  <si>
    <t>Châssis</t>
  </si>
  <si>
    <t>75°
Court</t>
  </si>
  <si>
    <t>90°
Court</t>
  </si>
  <si>
    <t xml:space="preserve">Roues arrière 24" </t>
  </si>
  <si>
    <t xml:space="preserve">Roues arrière 25" </t>
  </si>
  <si>
    <t xml:space="preserve">Roues arrière 26" </t>
  </si>
  <si>
    <t>UL</t>
  </si>
  <si>
    <t>Repose-pied</t>
  </si>
  <si>
    <t>Palette monobloc escamotable</t>
  </si>
  <si>
    <t>a² epf</t>
  </si>
  <si>
    <t>a²</t>
  </si>
  <si>
    <t>Y1</t>
  </si>
  <si>
    <t>Y2</t>
  </si>
  <si>
    <t>Y°</t>
  </si>
  <si>
    <t>Y'</t>
  </si>
  <si>
    <t>Z</t>
  </si>
  <si>
    <t>Z'</t>
  </si>
  <si>
    <t>L'</t>
  </si>
  <si>
    <t>BH'</t>
  </si>
  <si>
    <t>H'</t>
  </si>
  <si>
    <t>ΔSTF</t>
  </si>
  <si>
    <t>W'</t>
  </si>
  <si>
    <t>a² 90°</t>
  </si>
  <si>
    <t>a² 75°</t>
  </si>
  <si>
    <t>P°</t>
  </si>
  <si>
    <t>P'</t>
  </si>
  <si>
    <t>W=</t>
  </si>
  <si>
    <t>a² epf=</t>
  </si>
  <si>
    <t>Angle indiqué dans l'EPF</t>
  </si>
  <si>
    <t>a²=</t>
  </si>
  <si>
    <t>Angle reel flan</t>
  </si>
  <si>
    <t>R=</t>
  </si>
  <si>
    <t>Rayon de roue</t>
  </si>
  <si>
    <t>H'=</t>
  </si>
  <si>
    <t>Position de roue par rapport au flan suivant axe X</t>
  </si>
  <si>
    <t>L'=</t>
  </si>
  <si>
    <t>Longueur tube d'assise suivant axe X</t>
  </si>
  <si>
    <t>Y'=</t>
  </si>
  <si>
    <t>UL suivant X perpendiculaire</t>
  </si>
  <si>
    <t>Z'=</t>
  </si>
  <si>
    <t>UL suivant X parrallèle</t>
  </si>
  <si>
    <t>P'=</t>
  </si>
  <si>
    <t>Palette suivant axe X</t>
  </si>
  <si>
    <t>Règle supplémentaire Y2:</t>
  </si>
  <si>
    <t>SI SD385 + P3,4,5= Y1+25</t>
  </si>
  <si>
    <t>SI SD385 + P1,2= Y1+49</t>
  </si>
  <si>
    <t>SI SD410 + P3,4,5= Y1</t>
  </si>
  <si>
    <t>SI SD410 + P1,2= Y1+25</t>
  </si>
  <si>
    <t>Angle de chassis</t>
  </si>
  <si>
    <t>Frame angle</t>
  </si>
  <si>
    <t>75°</t>
  </si>
  <si>
    <t>DSA1000/1010</t>
  </si>
  <si>
    <t>DSA1020/1030</t>
  </si>
  <si>
    <t>W°</t>
  </si>
  <si>
    <t>Wrad</t>
  </si>
  <si>
    <t>H1</t>
  </si>
  <si>
    <t>H2</t>
  </si>
  <si>
    <t>H3</t>
  </si>
  <si>
    <t>H4</t>
  </si>
  <si>
    <t>H5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</si>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</sst>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General\ &quot;mm&quot;"/>
    <numFmt numFmtId="166" formatCode="General\ &quot;°&quot;"/>
    <numFmt numFmtId="167" formatCode="0.000"/>
    <numFmt numFmtId="168" formatCode="0.0000"/>
    <numFmt numFmtId="169" formatCode="0.00000"/>
    <numFmt numFmtId="170" formatCode="0.0000000"/>
  </numFmts>
  <fonts count="4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20"/>
      <color theme="1"/>
      <name val="Calibri"/>
      <family val="2"/>
      <scheme val="minor"/>
    </font>
    <font>
      <sz val="12"/>
      <name val="Arial"/>
      <family val="2"/>
    </font>
    <font>
      <i/>
      <sz val="30"/>
      <color theme="4"/>
      <name val="Titillium Web"/>
    </font>
    <font>
      <sz val="11"/>
      <color theme="1"/>
      <name val="Titillium Web"/>
    </font>
    <font>
      <b/>
      <sz val="11"/>
      <color theme="1"/>
      <name val="Titillium Web"/>
    </font>
    <font>
      <sz val="11"/>
      <color theme="0" tint="-0.499984740745262"/>
      <name val="Titillium Web"/>
    </font>
    <font>
      <b/>
      <i/>
      <u/>
      <sz val="11"/>
      <color theme="1"/>
      <name val="Titillium Web"/>
    </font>
    <font>
      <i/>
      <sz val="11"/>
      <color theme="1"/>
      <name val="Titillium Web"/>
    </font>
    <font>
      <b/>
      <sz val="11"/>
      <color rgb="FFFF0000"/>
      <name val="Titillium Web"/>
    </font>
    <font>
      <i/>
      <u/>
      <sz val="11"/>
      <color theme="1"/>
      <name val="Titillium Web"/>
    </font>
    <font>
      <u/>
      <sz val="11"/>
      <color theme="1"/>
      <name val="Titillium Web"/>
    </font>
    <font>
      <sz val="14"/>
      <color theme="0"/>
      <name val="Titillium Web"/>
    </font>
    <font>
      <sz val="11"/>
      <name val="Titillium Web"/>
    </font>
    <font>
      <i/>
      <sz val="11"/>
      <color rgb="FFFF0000"/>
      <name val="Titillium Web"/>
    </font>
    <font>
      <sz val="11"/>
      <name val="Arial"/>
      <family val="2"/>
    </font>
    <font>
      <sz val="11"/>
      <name val="Wingdings"/>
      <charset val="2"/>
    </font>
    <font>
      <b/>
      <sz val="12"/>
      <color theme="0"/>
      <name val="Titillium Web"/>
    </font>
    <font>
      <i/>
      <sz val="11"/>
      <name val="Arial"/>
      <family val="2"/>
    </font>
    <font>
      <b/>
      <i/>
      <sz val="11"/>
      <name val="Arial"/>
      <family val="2"/>
    </font>
    <font>
      <i/>
      <sz val="11"/>
      <name val="Wingdings"/>
      <charset val="2"/>
    </font>
    <font>
      <sz val="11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FF0000"/>
      <name val="Titillium Web"/>
    </font>
    <font>
      <sz val="11"/>
      <color theme="9" tint="-0.499984740745262"/>
      <name val="Titillium Web"/>
    </font>
    <font>
      <sz val="11"/>
      <color theme="4"/>
      <name val="Titillium Web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sz val="11"/>
      <color rgb="FF0070C0"/>
      <name val="Titillium Web"/>
    </font>
    <font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00B050"/>
      <name val="Titillium Web"/>
    </font>
    <font>
      <sz val="11"/>
      <color theme="7"/>
      <name val="Titillium Web"/>
    </font>
    <font>
      <i/>
      <sz val="11"/>
      <name val="Titillium Web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44" fillId="0" borderId="0"/>
  </cellStyleXfs>
  <cellXfs count="460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0" xfId="0" applyBorder="1"/>
    <xf numFmtId="0" fontId="0" fillId="0" borderId="8" xfId="0" applyBorder="1"/>
    <xf numFmtId="0" fontId="4" fillId="0" borderId="7" xfId="0" applyFont="1" applyFill="1" applyBorder="1"/>
    <xf numFmtId="0" fontId="0" fillId="0" borderId="2" xfId="0" applyBorder="1"/>
    <xf numFmtId="0" fontId="0" fillId="0" borderId="0" xfId="0" applyFill="1" applyBorder="1"/>
    <xf numFmtId="0" fontId="5" fillId="0" borderId="0" xfId="0" applyFont="1"/>
    <xf numFmtId="0" fontId="0" fillId="0" borderId="8" xfId="0" applyFill="1" applyBorder="1"/>
    <xf numFmtId="0" fontId="4" fillId="0" borderId="0" xfId="0" applyFont="1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0" borderId="0" xfId="0" applyFill="1"/>
    <xf numFmtId="0" fontId="7" fillId="0" borderId="0" xfId="0" applyFont="1"/>
    <xf numFmtId="0" fontId="3" fillId="0" borderId="0" xfId="0" applyFont="1"/>
    <xf numFmtId="2" fontId="0" fillId="0" borderId="0" xfId="0" applyNumberFormat="1" applyFill="1"/>
    <xf numFmtId="2" fontId="0" fillId="0" borderId="0" xfId="0" applyNumberFormat="1"/>
    <xf numFmtId="0" fontId="0" fillId="0" borderId="1" xfId="0" applyBorder="1"/>
    <xf numFmtId="0" fontId="0" fillId="0" borderId="7" xfId="0" applyBorder="1"/>
    <xf numFmtId="0" fontId="8" fillId="0" borderId="0" xfId="0" quotePrefix="1" applyFont="1"/>
    <xf numFmtId="0" fontId="8" fillId="0" borderId="0" xfId="0" applyFont="1"/>
    <xf numFmtId="0" fontId="0" fillId="0" borderId="2" xfId="0" applyBorder="1" applyAlignment="1">
      <alignment horizontal="center"/>
    </xf>
    <xf numFmtId="0" fontId="0" fillId="2" borderId="13" xfId="0" applyFill="1" applyBorder="1" applyAlignment="1">
      <alignment horizontal="left"/>
    </xf>
    <xf numFmtId="0" fontId="0" fillId="2" borderId="0" xfId="0" applyFill="1" applyBorder="1"/>
    <xf numFmtId="0" fontId="0" fillId="0" borderId="3" xfId="0" applyFill="1" applyBorder="1"/>
    <xf numFmtId="0" fontId="0" fillId="4" borderId="0" xfId="0" applyFill="1" applyBorder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2" borderId="8" xfId="0" applyFill="1" applyBorder="1"/>
    <xf numFmtId="0" fontId="0" fillId="2" borderId="24" xfId="0" applyFill="1" applyBorder="1"/>
    <xf numFmtId="0" fontId="0" fillId="0" borderId="0" xfId="0" applyFont="1" applyBorder="1" applyAlignment="1">
      <alignment horizontal="center" vertical="center"/>
    </xf>
    <xf numFmtId="0" fontId="4" fillId="0" borderId="1" xfId="0" applyFont="1" applyBorder="1"/>
    <xf numFmtId="0" fontId="0" fillId="0" borderId="4" xfId="0" applyFill="1" applyBorder="1"/>
    <xf numFmtId="0" fontId="0" fillId="0" borderId="5" xfId="0" applyFill="1" applyBorder="1"/>
    <xf numFmtId="0" fontId="0" fillId="0" borderId="1" xfId="0" applyFill="1" applyBorder="1"/>
    <xf numFmtId="0" fontId="0" fillId="0" borderId="7" xfId="0" applyFont="1" applyBorder="1" applyAlignment="1">
      <alignment horizontal="center" vertical="center"/>
    </xf>
    <xf numFmtId="0" fontId="0" fillId="0" borderId="6" xfId="0" applyFill="1" applyBorder="1"/>
    <xf numFmtId="0" fontId="4" fillId="0" borderId="1" xfId="0" applyFont="1" applyFill="1" applyBorder="1"/>
    <xf numFmtId="2" fontId="0" fillId="0" borderId="0" xfId="0" applyNumberFormat="1" applyFill="1" applyBorder="1"/>
    <xf numFmtId="0" fontId="1" fillId="0" borderId="0" xfId="0" applyFont="1" applyFill="1" applyBorder="1" applyAlignment="1">
      <alignment vertical="center"/>
    </xf>
    <xf numFmtId="0" fontId="0" fillId="0" borderId="7" xfId="0" applyBorder="1" applyAlignment="1"/>
    <xf numFmtId="0" fontId="0" fillId="0" borderId="0" xfId="0" applyBorder="1" applyAlignment="1"/>
    <xf numFmtId="0" fontId="0" fillId="0" borderId="8" xfId="0" applyBorder="1" applyAlignment="1"/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0" fillId="0" borderId="8" xfId="0" applyFill="1" applyBorder="1" applyAlignment="1">
      <alignment horizontal="right"/>
    </xf>
    <xf numFmtId="0" fontId="0" fillId="0" borderId="7" xfId="0" applyFill="1" applyBorder="1"/>
    <xf numFmtId="0" fontId="6" fillId="0" borderId="0" xfId="0" applyFont="1" applyFill="1" applyBorder="1" applyAlignment="1">
      <alignment vertical="center"/>
    </xf>
    <xf numFmtId="2" fontId="6" fillId="0" borderId="0" xfId="0" applyNumberFormat="1" applyFont="1" applyFill="1" applyBorder="1" applyAlignment="1">
      <alignment vertical="center"/>
    </xf>
    <xf numFmtId="0" fontId="7" fillId="0" borderId="0" xfId="0" applyFont="1" applyFill="1" applyBorder="1"/>
    <xf numFmtId="0" fontId="3" fillId="0" borderId="2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left"/>
    </xf>
    <xf numFmtId="0" fontId="0" fillId="0" borderId="0" xfId="0" applyFill="1" applyBorder="1" applyAlignment="1"/>
    <xf numFmtId="0" fontId="0" fillId="0" borderId="3" xfId="0" applyFont="1" applyFill="1" applyBorder="1"/>
    <xf numFmtId="0" fontId="3" fillId="0" borderId="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3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4" fillId="0" borderId="30" xfId="0" applyFont="1" applyBorder="1" applyAlignment="1">
      <alignment horizontal="left"/>
    </xf>
    <xf numFmtId="0" fontId="4" fillId="0" borderId="7" xfId="0" applyFont="1" applyBorder="1" applyAlignment="1">
      <alignment horizontal="left" vertical="center"/>
    </xf>
    <xf numFmtId="0" fontId="0" fillId="0" borderId="0" xfId="0" applyFont="1" applyBorder="1" applyAlignment="1">
      <alignment horizontal="right" vertical="center"/>
    </xf>
    <xf numFmtId="0" fontId="0" fillId="0" borderId="8" xfId="0" applyFont="1" applyBorder="1" applyAlignment="1">
      <alignment horizontal="right" vertical="center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0" borderId="2" xfId="0" applyFill="1" applyBorder="1"/>
    <xf numFmtId="0" fontId="0" fillId="0" borderId="0" xfId="0" applyBorder="1" applyAlignment="1">
      <alignment horizontal="center"/>
    </xf>
    <xf numFmtId="0" fontId="4" fillId="0" borderId="7" xfId="0" applyFont="1" applyBorder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13" fillId="3" borderId="13" xfId="0" applyFont="1" applyFill="1" applyBorder="1" applyAlignment="1">
      <alignment vertical="center"/>
    </xf>
    <xf numFmtId="0" fontId="12" fillId="3" borderId="14" xfId="0" applyFont="1" applyFill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4" fillId="0" borderId="14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quotePrefix="1" applyFont="1" applyAlignment="1">
      <alignment vertical="center"/>
    </xf>
    <xf numFmtId="0" fontId="16" fillId="0" borderId="0" xfId="0" applyFont="1" applyFill="1" applyAlignment="1">
      <alignment vertical="center"/>
    </xf>
    <xf numFmtId="164" fontId="12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16" fillId="0" borderId="0" xfId="0" applyFont="1" applyAlignment="1">
      <alignment horizontal="right" vertical="center"/>
    </xf>
    <xf numFmtId="164" fontId="16" fillId="0" borderId="0" xfId="0" applyNumberFormat="1" applyFont="1" applyAlignment="1">
      <alignment horizontal="right"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 applyAlignment="1">
      <alignment horizontal="right" vertical="center"/>
    </xf>
    <xf numFmtId="0" fontId="12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vertical="center"/>
    </xf>
    <xf numFmtId="0" fontId="14" fillId="3" borderId="14" xfId="0" applyFont="1" applyFill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164" fontId="16" fillId="0" borderId="0" xfId="0" applyNumberFormat="1" applyFont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12" fillId="3" borderId="14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Border="1" applyAlignment="1">
      <alignment vertical="center"/>
    </xf>
    <xf numFmtId="164" fontId="12" fillId="0" borderId="0" xfId="0" applyNumberFormat="1" applyFont="1" applyAlignment="1">
      <alignment horizontal="left" vertical="center"/>
    </xf>
    <xf numFmtId="0" fontId="12" fillId="0" borderId="0" xfId="0" quotePrefix="1" applyFont="1" applyFill="1" applyAlignment="1">
      <alignment horizontal="right" vertical="center"/>
    </xf>
    <xf numFmtId="0" fontId="14" fillId="0" borderId="14" xfId="0" applyFont="1" applyBorder="1" applyAlignment="1">
      <alignment horizontal="left" vertical="center"/>
    </xf>
    <xf numFmtId="0" fontId="19" fillId="0" borderId="0" xfId="0" quotePrefix="1" applyFont="1" applyAlignment="1">
      <alignment vertical="center"/>
    </xf>
    <xf numFmtId="0" fontId="12" fillId="0" borderId="0" xfId="0" quotePrefix="1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0" fillId="0" borderId="5" xfId="0" applyBorder="1"/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3" xfId="0" applyFill="1" applyBorder="1" applyAlignment="1"/>
    <xf numFmtId="0" fontId="0" fillId="0" borderId="5" xfId="0" applyFill="1" applyBorder="1" applyAlignment="1"/>
    <xf numFmtId="0" fontId="16" fillId="0" borderId="8" xfId="0" applyFont="1" applyBorder="1" applyAlignment="1">
      <alignment horizontal="left" vertical="center"/>
    </xf>
    <xf numFmtId="0" fontId="0" fillId="2" borderId="3" xfId="0" applyFill="1" applyBorder="1" applyAlignment="1">
      <alignment horizontal="left"/>
    </xf>
    <xf numFmtId="1" fontId="0" fillId="0" borderId="3" xfId="0" applyNumberFormat="1" applyFill="1" applyBorder="1"/>
    <xf numFmtId="0" fontId="0" fillId="0" borderId="0" xfId="0" applyFont="1" applyFill="1" applyBorder="1"/>
    <xf numFmtId="0" fontId="0" fillId="0" borderId="0" xfId="0" applyFont="1" applyFill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1" fillId="0" borderId="0" xfId="0" applyFont="1" applyBorder="1" applyAlignment="1">
      <alignment horizontal="right" vertical="center"/>
    </xf>
    <xf numFmtId="0" fontId="16" fillId="3" borderId="0" xfId="0" applyFont="1" applyFill="1" applyAlignment="1">
      <alignment horizontal="right" vertical="center"/>
    </xf>
    <xf numFmtId="0" fontId="16" fillId="3" borderId="8" xfId="0" applyFont="1" applyFill="1" applyBorder="1" applyAlignment="1">
      <alignment horizontal="right" vertical="center"/>
    </xf>
    <xf numFmtId="0" fontId="12" fillId="6" borderId="0" xfId="0" applyFont="1" applyFill="1" applyAlignment="1">
      <alignment horizontal="center" vertical="center"/>
    </xf>
    <xf numFmtId="0" fontId="12" fillId="6" borderId="0" xfId="0" applyFont="1" applyFill="1" applyAlignment="1">
      <alignment vertical="center"/>
    </xf>
    <xf numFmtId="0" fontId="16" fillId="6" borderId="0" xfId="0" applyFont="1" applyFill="1" applyAlignment="1">
      <alignment horizontal="right" vertical="center"/>
    </xf>
    <xf numFmtId="0" fontId="12" fillId="6" borderId="0" xfId="0" applyFont="1" applyFill="1" applyAlignment="1">
      <alignment horizontal="right" vertical="center"/>
    </xf>
    <xf numFmtId="0" fontId="0" fillId="0" borderId="3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2" fontId="12" fillId="0" borderId="0" xfId="0" applyNumberFormat="1" applyFont="1" applyBorder="1" applyAlignment="1">
      <alignment vertical="center"/>
    </xf>
    <xf numFmtId="2" fontId="16" fillId="0" borderId="0" xfId="0" applyNumberFormat="1" applyFont="1" applyAlignment="1">
      <alignment horizontal="left" vertical="center"/>
    </xf>
    <xf numFmtId="165" fontId="12" fillId="0" borderId="0" xfId="0" applyNumberFormat="1" applyFont="1" applyAlignment="1">
      <alignment vertical="center"/>
    </xf>
    <xf numFmtId="0" fontId="16" fillId="0" borderId="0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vertical="center"/>
    </xf>
    <xf numFmtId="0" fontId="24" fillId="0" borderId="0" xfId="0" applyFont="1" applyBorder="1" applyAlignment="1" applyProtection="1">
      <alignment horizontal="center" vertical="center"/>
      <protection locked="0"/>
    </xf>
    <xf numFmtId="0" fontId="26" fillId="0" borderId="0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28" fillId="0" borderId="0" xfId="0" applyFont="1" applyBorder="1" applyAlignment="1" applyProtection="1">
      <alignment horizontal="center" vertical="center"/>
      <protection locked="0"/>
    </xf>
    <xf numFmtId="0" fontId="7" fillId="0" borderId="1" xfId="0" applyFont="1" applyFill="1" applyBorder="1"/>
    <xf numFmtId="0" fontId="14" fillId="0" borderId="0" xfId="0" applyFont="1" applyBorder="1" applyAlignment="1">
      <alignment vertical="center"/>
    </xf>
    <xf numFmtId="0" fontId="21" fillId="6" borderId="0" xfId="0" applyFont="1" applyFill="1" applyAlignment="1">
      <alignment horizontal="center" vertical="center"/>
    </xf>
    <xf numFmtId="0" fontId="21" fillId="7" borderId="0" xfId="0" applyFont="1" applyFill="1" applyBorder="1" applyAlignment="1">
      <alignment horizontal="center" vertical="center"/>
    </xf>
    <xf numFmtId="0" fontId="12" fillId="7" borderId="0" xfId="0" applyFont="1" applyFill="1" applyBorder="1" applyAlignment="1">
      <alignment horizontal="center" vertical="center"/>
    </xf>
    <xf numFmtId="0" fontId="12" fillId="7" borderId="0" xfId="0" applyFont="1" applyFill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12" fillId="8" borderId="0" xfId="0" applyFont="1" applyFill="1" applyAlignment="1">
      <alignment horizontal="center" vertical="center"/>
    </xf>
    <xf numFmtId="0" fontId="8" fillId="0" borderId="7" xfId="0" applyFont="1" applyBorder="1"/>
    <xf numFmtId="0" fontId="1" fillId="0" borderId="2" xfId="0" applyFont="1" applyBorder="1" applyAlignment="1">
      <alignment horizontal="center" vertical="center"/>
    </xf>
    <xf numFmtId="0" fontId="8" fillId="0" borderId="0" xfId="0" applyFont="1" applyBorder="1"/>
    <xf numFmtId="0" fontId="8" fillId="0" borderId="8" xfId="0" applyFont="1" applyBorder="1"/>
    <xf numFmtId="0" fontId="12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0" fontId="0" fillId="0" borderId="7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12" fillId="0" borderId="13" xfId="0" applyFont="1" applyFill="1" applyBorder="1" applyAlignment="1">
      <alignment vertical="center"/>
    </xf>
    <xf numFmtId="0" fontId="14" fillId="0" borderId="14" xfId="0" applyFont="1" applyFill="1" applyBorder="1" applyAlignment="1">
      <alignment vertical="center"/>
    </xf>
    <xf numFmtId="0" fontId="21" fillId="6" borderId="0" xfId="0" applyFont="1" applyFill="1" applyBorder="1" applyAlignment="1">
      <alignment horizontal="center" vertical="center"/>
    </xf>
    <xf numFmtId="0" fontId="29" fillId="0" borderId="0" xfId="0" applyFont="1" applyBorder="1"/>
    <xf numFmtId="0" fontId="29" fillId="0" borderId="4" xfId="0" applyFont="1" applyBorder="1"/>
    <xf numFmtId="0" fontId="8" fillId="0" borderId="4" xfId="0" applyFont="1" applyBorder="1"/>
    <xf numFmtId="0" fontId="0" fillId="0" borderId="32" xfId="0" applyBorder="1"/>
    <xf numFmtId="0" fontId="0" fillId="0" borderId="32" xfId="0" applyBorder="1" applyAlignment="1">
      <alignment horizontal="center"/>
    </xf>
    <xf numFmtId="0" fontId="1" fillId="0" borderId="32" xfId="0" applyFont="1" applyBorder="1"/>
    <xf numFmtId="0" fontId="12" fillId="0" borderId="7" xfId="0" applyFont="1" applyBorder="1" applyAlignment="1">
      <alignment horizontal="right" vertical="center"/>
    </xf>
    <xf numFmtId="0" fontId="12" fillId="0" borderId="7" xfId="0" applyFont="1" applyBorder="1" applyAlignment="1">
      <alignment vertical="center"/>
    </xf>
    <xf numFmtId="0" fontId="8" fillId="0" borderId="3" xfId="0" applyFont="1" applyBorder="1"/>
    <xf numFmtId="0" fontId="29" fillId="0" borderId="3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0" xfId="0" applyFont="1" applyBorder="1"/>
    <xf numFmtId="0" fontId="30" fillId="9" borderId="1" xfId="0" applyFont="1" applyFill="1" applyBorder="1"/>
    <xf numFmtId="0" fontId="30" fillId="9" borderId="2" xfId="0" applyFont="1" applyFill="1" applyBorder="1"/>
    <xf numFmtId="0" fontId="30" fillId="9" borderId="7" xfId="0" applyFont="1" applyFill="1" applyBorder="1"/>
    <xf numFmtId="0" fontId="30" fillId="9" borderId="32" xfId="0" applyFont="1" applyFill="1" applyBorder="1" applyAlignment="1">
      <alignment horizontal="center" vertical="center"/>
    </xf>
    <xf numFmtId="0" fontId="1" fillId="9" borderId="32" xfId="0" applyFont="1" applyFill="1" applyBorder="1" applyAlignment="1">
      <alignment horizontal="center" vertical="center"/>
    </xf>
    <xf numFmtId="0" fontId="29" fillId="0" borderId="3" xfId="0" applyFont="1" applyFill="1" applyBorder="1"/>
    <xf numFmtId="0" fontId="8" fillId="0" borderId="4" xfId="0" applyFont="1" applyFill="1" applyBorder="1"/>
    <xf numFmtId="0" fontId="29" fillId="0" borderId="4" xfId="0" applyFont="1" applyFill="1" applyBorder="1"/>
    <xf numFmtId="0" fontId="29" fillId="0" borderId="0" xfId="0" applyFont="1" applyFill="1" applyBorder="1"/>
    <xf numFmtId="0" fontId="8" fillId="0" borderId="3" xfId="0" applyFont="1" applyFill="1" applyBorder="1"/>
    <xf numFmtId="0" fontId="8" fillId="0" borderId="0" xfId="0" applyFont="1" applyFill="1" applyBorder="1"/>
    <xf numFmtId="0" fontId="30" fillId="9" borderId="3" xfId="0" applyFont="1" applyFill="1" applyBorder="1"/>
    <xf numFmtId="0" fontId="0" fillId="2" borderId="13" xfId="0" applyFont="1" applyFill="1" applyBorder="1" applyAlignment="1"/>
    <xf numFmtId="0" fontId="0" fillId="0" borderId="0" xfId="0" applyFont="1" applyBorder="1" applyAlignment="1">
      <alignment horizontal="center"/>
    </xf>
    <xf numFmtId="0" fontId="31" fillId="0" borderId="0" xfId="0" applyFont="1" applyFill="1" applyBorder="1"/>
    <xf numFmtId="166" fontId="21" fillId="0" borderId="0" xfId="0" applyNumberFormat="1" applyFont="1" applyBorder="1" applyAlignment="1">
      <alignment horizontal="center" vertical="center"/>
    </xf>
    <xf numFmtId="2" fontId="12" fillId="0" borderId="0" xfId="0" applyNumberFormat="1" applyFont="1" applyAlignment="1">
      <alignment vertical="center"/>
    </xf>
    <xf numFmtId="0" fontId="12" fillId="6" borderId="0" xfId="0" applyFont="1" applyFill="1" applyBorder="1" applyAlignment="1">
      <alignment horizontal="center" vertical="center"/>
    </xf>
    <xf numFmtId="0" fontId="21" fillId="8" borderId="0" xfId="0" applyFont="1" applyFill="1" applyBorder="1" applyAlignment="1">
      <alignment horizontal="center" vertical="center"/>
    </xf>
    <xf numFmtId="0" fontId="12" fillId="8" borderId="0" xfId="0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" fillId="0" borderId="0" xfId="0" applyFont="1"/>
    <xf numFmtId="166" fontId="12" fillId="0" borderId="0" xfId="0" applyNumberFormat="1" applyFont="1" applyBorder="1" applyAlignment="1">
      <alignment vertical="center"/>
    </xf>
    <xf numFmtId="0" fontId="4" fillId="0" borderId="3" xfId="0" applyFont="1" applyBorder="1"/>
    <xf numFmtId="0" fontId="1" fillId="0" borderId="7" xfId="0" applyFont="1" applyBorder="1" applyAlignment="1">
      <alignment vertical="center"/>
    </xf>
    <xf numFmtId="0" fontId="0" fillId="2" borderId="5" xfId="0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2" borderId="33" xfId="0" applyFill="1" applyBorder="1"/>
    <xf numFmtId="0" fontId="14" fillId="3" borderId="14" xfId="0" applyFont="1" applyFill="1" applyBorder="1" applyAlignment="1">
      <alignment horizontal="left" vertic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0" fillId="0" borderId="4" xfId="0" applyFont="1" applyBorder="1" applyAlignment="1">
      <alignment horizontal="center"/>
    </xf>
    <xf numFmtId="0" fontId="35" fillId="0" borderId="0" xfId="0" applyFont="1"/>
    <xf numFmtId="0" fontId="0" fillId="0" borderId="8" xfId="0" applyFont="1" applyBorder="1" applyAlignment="1">
      <alignment horizontal="center"/>
    </xf>
    <xf numFmtId="0" fontId="12" fillId="6" borderId="0" xfId="0" applyFont="1" applyFill="1" applyBorder="1" applyAlignment="1">
      <alignment horizontal="center"/>
    </xf>
    <xf numFmtId="0" fontId="16" fillId="0" borderId="0" xfId="0" applyFont="1" applyFill="1" applyAlignment="1">
      <alignment horizontal="left" vertical="center"/>
    </xf>
    <xf numFmtId="0" fontId="37" fillId="0" borderId="0" xfId="0" applyFont="1" applyAlignment="1">
      <alignment vertical="center"/>
    </xf>
    <xf numFmtId="0" fontId="37" fillId="0" borderId="0" xfId="0" applyFont="1" applyFill="1" applyAlignment="1">
      <alignment vertical="center"/>
    </xf>
    <xf numFmtId="2" fontId="12" fillId="0" borderId="0" xfId="0" applyNumberFormat="1" applyFont="1" applyFill="1" applyAlignment="1">
      <alignment vertical="center"/>
    </xf>
    <xf numFmtId="2" fontId="13" fillId="0" borderId="0" xfId="0" applyNumberFormat="1" applyFont="1" applyFill="1" applyAlignment="1">
      <alignment vertical="center"/>
    </xf>
    <xf numFmtId="0" fontId="38" fillId="0" borderId="0" xfId="0" applyFont="1"/>
    <xf numFmtId="2" fontId="36" fillId="0" borderId="0" xfId="0" applyNumberFormat="1" applyFont="1"/>
    <xf numFmtId="0" fontId="0" fillId="0" borderId="3" xfId="0" applyFill="1" applyBorder="1" applyAlignment="1">
      <alignment horizontal="center"/>
    </xf>
    <xf numFmtId="0" fontId="38" fillId="0" borderId="0" xfId="0" applyFont="1" applyBorder="1"/>
    <xf numFmtId="0" fontId="0" fillId="0" borderId="5" xfId="0" applyFill="1" applyBorder="1" applyAlignment="1">
      <alignment horizontal="center"/>
    </xf>
    <xf numFmtId="2" fontId="36" fillId="0" borderId="0" xfId="0" applyNumberFormat="1" applyFont="1" applyBorder="1"/>
    <xf numFmtId="2" fontId="39" fillId="6" borderId="32" xfId="0" applyNumberFormat="1" applyFont="1" applyFill="1" applyBorder="1"/>
    <xf numFmtId="2" fontId="40" fillId="6" borderId="32" xfId="0" applyNumberFormat="1" applyFont="1" applyFill="1" applyBorder="1"/>
    <xf numFmtId="2" fontId="36" fillId="0" borderId="2" xfId="0" applyNumberFormat="1" applyFont="1" applyBorder="1"/>
    <xf numFmtId="2" fontId="40" fillId="0" borderId="4" xfId="0" applyNumberFormat="1" applyFont="1" applyBorder="1"/>
    <xf numFmtId="2" fontId="39" fillId="3" borderId="10" xfId="0" applyNumberFormat="1" applyFont="1" applyFill="1" applyBorder="1"/>
    <xf numFmtId="2" fontId="40" fillId="3" borderId="10" xfId="0" applyNumberFormat="1" applyFont="1" applyFill="1" applyBorder="1"/>
    <xf numFmtId="0" fontId="0" fillId="0" borderId="0" xfId="0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9" borderId="34" xfId="0" applyFill="1" applyBorder="1"/>
    <xf numFmtId="0" fontId="1" fillId="9" borderId="9" xfId="0" applyFont="1" applyFill="1" applyBorder="1"/>
    <xf numFmtId="0" fontId="1" fillId="9" borderId="10" xfId="0" applyFont="1" applyFill="1" applyBorder="1"/>
    <xf numFmtId="0" fontId="0" fillId="9" borderId="0" xfId="0" applyFill="1"/>
    <xf numFmtId="0" fontId="0" fillId="9" borderId="0" xfId="0" applyFill="1" applyAlignment="1">
      <alignment horizontal="right"/>
    </xf>
    <xf numFmtId="0" fontId="0" fillId="9" borderId="1" xfId="0" applyFill="1" applyBorder="1"/>
    <xf numFmtId="0" fontId="0" fillId="9" borderId="3" xfId="0" applyFill="1" applyBorder="1"/>
    <xf numFmtId="0" fontId="0" fillId="0" borderId="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2" borderId="17" xfId="0" applyFill="1" applyBorder="1" applyAlignment="1">
      <alignment horizontal="left"/>
    </xf>
    <xf numFmtId="0" fontId="1" fillId="0" borderId="0" xfId="0" applyFont="1" applyFill="1" applyBorder="1"/>
    <xf numFmtId="0" fontId="29" fillId="0" borderId="8" xfId="0" applyFont="1" applyBorder="1"/>
    <xf numFmtId="0" fontId="0" fillId="0" borderId="6" xfId="0" applyFont="1" applyBorder="1" applyAlignment="1">
      <alignment horizontal="center"/>
    </xf>
    <xf numFmtId="0" fontId="0" fillId="0" borderId="7" xfId="0" quotePrefix="1" applyBorder="1"/>
    <xf numFmtId="0" fontId="29" fillId="0" borderId="0" xfId="0" applyFont="1" applyBorder="1" applyAlignment="1">
      <alignment horizontal="right"/>
    </xf>
    <xf numFmtId="0" fontId="29" fillId="0" borderId="0" xfId="0" applyFont="1" applyBorder="1" applyAlignment="1">
      <alignment horizontal="right" vertical="center"/>
    </xf>
    <xf numFmtId="0" fontId="29" fillId="0" borderId="8" xfId="0" applyFont="1" applyBorder="1" applyAlignment="1">
      <alignment horizontal="right" vertical="center"/>
    </xf>
    <xf numFmtId="0" fontId="0" fillId="0" borderId="2" xfId="0" quotePrefix="1" applyBorder="1"/>
    <xf numFmtId="2" fontId="1" fillId="0" borderId="0" xfId="0" applyNumberFormat="1" applyFont="1" applyBorder="1"/>
    <xf numFmtId="2" fontId="1" fillId="0" borderId="0" xfId="0" applyNumberFormat="1" applyFont="1" applyFill="1" applyBorder="1"/>
    <xf numFmtId="2" fontId="1" fillId="0" borderId="8" xfId="0" applyNumberFormat="1" applyFont="1" applyBorder="1"/>
    <xf numFmtId="0" fontId="29" fillId="0" borderId="0" xfId="0" applyFont="1" applyFill="1" applyBorder="1" applyAlignment="1">
      <alignment horizontal="right"/>
    </xf>
    <xf numFmtId="2" fontId="1" fillId="0" borderId="0" xfId="0" applyNumberFormat="1" applyFont="1" applyFill="1" applyBorder="1" applyAlignment="1">
      <alignment horizontal="right"/>
    </xf>
    <xf numFmtId="2" fontId="0" fillId="0" borderId="0" xfId="0" applyNumberFormat="1" applyBorder="1" applyAlignment="1">
      <alignment horizontal="right"/>
    </xf>
    <xf numFmtId="2" fontId="1" fillId="0" borderId="8" xfId="0" applyNumberFormat="1" applyFont="1" applyBorder="1" applyAlignment="1">
      <alignment horizontal="right"/>
    </xf>
    <xf numFmtId="0" fontId="0" fillId="0" borderId="0" xfId="0" applyBorder="1" applyAlignment="1">
      <alignment horizontal="right"/>
    </xf>
    <xf numFmtId="2" fontId="1" fillId="0" borderId="0" xfId="0" applyNumberFormat="1" applyFont="1" applyBorder="1" applyAlignment="1">
      <alignment horizontal="right"/>
    </xf>
    <xf numFmtId="0" fontId="29" fillId="0" borderId="8" xfId="0" applyFont="1" applyBorder="1" applyAlignment="1">
      <alignment horizontal="right"/>
    </xf>
    <xf numFmtId="2" fontId="29" fillId="0" borderId="8" xfId="0" applyNumberFormat="1" applyFont="1" applyBorder="1" applyAlignment="1">
      <alignment horizontal="right"/>
    </xf>
    <xf numFmtId="167" fontId="1" fillId="0" borderId="0" xfId="0" applyNumberFormat="1" applyFont="1" applyBorder="1"/>
    <xf numFmtId="167" fontId="30" fillId="0" borderId="0" xfId="0" applyNumberFormat="1" applyFont="1" applyBorder="1"/>
    <xf numFmtId="2" fontId="1" fillId="0" borderId="4" xfId="0" applyNumberFormat="1" applyFont="1" applyBorder="1"/>
    <xf numFmtId="0" fontId="0" fillId="0" borderId="4" xfId="0" applyBorder="1" applyAlignment="1">
      <alignment horizontal="right"/>
    </xf>
    <xf numFmtId="0" fontId="0" fillId="0" borderId="6" xfId="0" applyBorder="1" applyAlignment="1">
      <alignment horizontal="right"/>
    </xf>
    <xf numFmtId="2" fontId="30" fillId="0" borderId="0" xfId="0" applyNumberFormat="1" applyFont="1" applyBorder="1"/>
    <xf numFmtId="0" fontId="12" fillId="6" borderId="0" xfId="0" applyFont="1" applyFill="1" applyBorder="1"/>
    <xf numFmtId="0" fontId="12" fillId="6" borderId="0" xfId="0" quotePrefix="1" applyFont="1" applyFill="1" applyBorder="1"/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0" fontId="12" fillId="0" borderId="0" xfId="0" quotePrefix="1" applyFont="1" applyAlignment="1">
      <alignment vertical="center"/>
    </xf>
    <xf numFmtId="0" fontId="21" fillId="0" borderId="0" xfId="0" applyFont="1" applyAlignment="1">
      <alignment vertical="center"/>
    </xf>
    <xf numFmtId="0" fontId="38" fillId="0" borderId="7" xfId="0" applyFont="1" applyBorder="1"/>
    <xf numFmtId="170" fontId="0" fillId="0" borderId="0" xfId="0" applyNumberFormat="1" applyFill="1" applyBorder="1"/>
    <xf numFmtId="168" fontId="1" fillId="0" borderId="0" xfId="0" applyNumberFormat="1" applyFont="1" applyFill="1" applyBorder="1"/>
    <xf numFmtId="169" fontId="1" fillId="0" borderId="8" xfId="0" applyNumberFormat="1" applyFont="1" applyBorder="1"/>
    <xf numFmtId="1" fontId="0" fillId="0" borderId="0" xfId="0" applyNumberFormat="1" applyFont="1" applyBorder="1"/>
    <xf numFmtId="167" fontId="12" fillId="0" borderId="0" xfId="0" applyNumberFormat="1" applyFont="1" applyAlignment="1">
      <alignment vertical="center"/>
    </xf>
    <xf numFmtId="167" fontId="32" fillId="0" borderId="0" xfId="0" applyNumberFormat="1" applyFont="1" applyAlignment="1">
      <alignment vertical="center"/>
    </xf>
    <xf numFmtId="0" fontId="12" fillId="0" borderId="0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ont="1" applyFill="1" applyBorder="1"/>
    <xf numFmtId="0" fontId="43" fillId="0" borderId="0" xfId="0" applyFont="1" applyAlignment="1">
      <alignment horizontal="left" vertical="center"/>
    </xf>
    <xf numFmtId="0" fontId="0" fillId="9" borderId="3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19" fillId="0" borderId="0" xfId="0" applyFont="1" applyAlignment="1">
      <alignment vertical="center"/>
    </xf>
    <xf numFmtId="0" fontId="13" fillId="0" borderId="0" xfId="0" quotePrefix="1" applyFont="1" applyAlignment="1">
      <alignment vertical="center"/>
    </xf>
    <xf numFmtId="0" fontId="0" fillId="0" borderId="1" xfId="0" applyBorder="1" applyAlignment="1">
      <alignment horizontal="center"/>
    </xf>
    <xf numFmtId="0" fontId="21" fillId="0" borderId="0" xfId="0" applyFont="1" applyFill="1" applyAlignment="1">
      <alignment vertical="center"/>
    </xf>
    <xf numFmtId="0" fontId="0" fillId="2" borderId="0" xfId="0" applyFill="1"/>
    <xf numFmtId="0" fontId="0" fillId="2" borderId="13" xfId="0" applyFill="1" applyBorder="1" applyAlignment="1">
      <alignment horizontal="left" wrapText="1"/>
    </xf>
    <xf numFmtId="0" fontId="12" fillId="0" borderId="0" xfId="0" applyFont="1" applyAlignment="1">
      <alignment horizontal="left" vertical="center"/>
    </xf>
    <xf numFmtId="0" fontId="0" fillId="2" borderId="14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5" fillId="0" borderId="38" xfId="2" applyFont="1" applyBorder="1" applyAlignment="1">
      <alignment horizontal="center" vertical="center"/>
    </xf>
    <xf numFmtId="0" fontId="45" fillId="0" borderId="39" xfId="2" applyFont="1" applyBorder="1" applyAlignment="1">
      <alignment horizontal="center" vertical="center"/>
    </xf>
    <xf numFmtId="0" fontId="45" fillId="0" borderId="40" xfId="2" applyFont="1" applyBorder="1" applyAlignment="1">
      <alignment horizontal="center" vertical="center"/>
    </xf>
    <xf numFmtId="0" fontId="45" fillId="0" borderId="42" xfId="2" applyFont="1" applyBorder="1" applyAlignment="1">
      <alignment horizontal="center" vertical="center"/>
    </xf>
    <xf numFmtId="0" fontId="45" fillId="0" borderId="43" xfId="2" applyFont="1" applyBorder="1" applyAlignment="1">
      <alignment horizontal="center" vertical="center"/>
    </xf>
    <xf numFmtId="0" fontId="45" fillId="0" borderId="44" xfId="2" applyFont="1" applyBorder="1" applyAlignment="1">
      <alignment horizontal="center" vertical="center"/>
    </xf>
    <xf numFmtId="0" fontId="45" fillId="0" borderId="46" xfId="2" applyFont="1" applyBorder="1" applyAlignment="1">
      <alignment horizontal="center" vertical="center"/>
    </xf>
    <xf numFmtId="0" fontId="45" fillId="0" borderId="47" xfId="2" applyFont="1" applyBorder="1" applyAlignment="1">
      <alignment horizontal="center" vertical="center"/>
    </xf>
    <xf numFmtId="0" fontId="45" fillId="0" borderId="48" xfId="2" applyFont="1" applyBorder="1" applyAlignment="1">
      <alignment horizontal="center" vertical="center"/>
    </xf>
    <xf numFmtId="0" fontId="45" fillId="0" borderId="47" xfId="2" applyFont="1" applyBorder="1" applyAlignment="1">
      <alignment horizontal="center" wrapText="1"/>
    </xf>
    <xf numFmtId="0" fontId="45" fillId="0" borderId="48" xfId="2" applyFont="1" applyBorder="1" applyAlignment="1">
      <alignment horizontal="center" wrapText="1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right"/>
    </xf>
    <xf numFmtId="0" fontId="3" fillId="0" borderId="0" xfId="0" applyFont="1" applyAlignment="1">
      <alignment horizontal="center"/>
    </xf>
    <xf numFmtId="0" fontId="0" fillId="2" borderId="4" xfId="0" applyFill="1" applyBorder="1" applyAlignment="1">
      <alignment horizontal="left"/>
    </xf>
    <xf numFmtId="0" fontId="0" fillId="0" borderId="3" xfId="0" applyBorder="1" applyAlignment="1">
      <alignment horizontal="right"/>
    </xf>
    <xf numFmtId="0" fontId="0" fillId="2" borderId="0" xfId="0" applyFill="1" applyAlignment="1">
      <alignment horizontal="left"/>
    </xf>
    <xf numFmtId="0" fontId="4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" fontId="0" fillId="0" borderId="0" xfId="0" applyNumberFormat="1"/>
    <xf numFmtId="2" fontId="0" fillId="0" borderId="4" xfId="0" applyNumberFormat="1" applyBorder="1"/>
    <xf numFmtId="2" fontId="0" fillId="0" borderId="8" xfId="0" applyNumberFormat="1" applyBorder="1"/>
    <xf numFmtId="1" fontId="0" fillId="0" borderId="8" xfId="0" applyNumberFormat="1" applyBorder="1"/>
    <xf numFmtId="2" fontId="0" fillId="0" borderId="6" xfId="0" applyNumberFormat="1" applyBorder="1"/>
    <xf numFmtId="0" fontId="12" fillId="0" borderId="13" xfId="0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25" fillId="5" borderId="15" xfId="0" applyFont="1" applyFill="1" applyBorder="1" applyAlignment="1">
      <alignment horizontal="left" vertical="center"/>
    </xf>
    <xf numFmtId="0" fontId="25" fillId="5" borderId="19" xfId="0" applyFont="1" applyFill="1" applyBorder="1" applyAlignment="1">
      <alignment horizontal="left" vertical="center"/>
    </xf>
    <xf numFmtId="165" fontId="20" fillId="5" borderId="16" xfId="0" applyNumberFormat="1" applyFont="1" applyFill="1" applyBorder="1" applyAlignment="1">
      <alignment horizontal="left" vertical="center"/>
    </xf>
    <xf numFmtId="165" fontId="20" fillId="5" borderId="20" xfId="0" applyNumberFormat="1" applyFont="1" applyFill="1" applyBorder="1" applyAlignment="1">
      <alignment horizontal="left" vertical="center"/>
    </xf>
    <xf numFmtId="0" fontId="12" fillId="0" borderId="25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43" fillId="0" borderId="0" xfId="0" applyFont="1" applyAlignment="1">
      <alignment horizontal="left" vertical="top" wrapText="1"/>
    </xf>
    <xf numFmtId="0" fontId="25" fillId="5" borderId="21" xfId="0" applyFont="1" applyFill="1" applyBorder="1" applyAlignment="1">
      <alignment horizontal="left" vertical="center"/>
    </xf>
    <xf numFmtId="166" fontId="20" fillId="5" borderId="23" xfId="0" applyNumberFormat="1" applyFont="1" applyFill="1" applyBorder="1" applyAlignment="1">
      <alignment horizontal="left" vertical="center"/>
    </xf>
    <xf numFmtId="166" fontId="20" fillId="5" borderId="20" xfId="0" applyNumberFormat="1" applyFont="1" applyFill="1" applyBorder="1" applyAlignment="1">
      <alignment horizontal="left" vertical="center"/>
    </xf>
    <xf numFmtId="165" fontId="20" fillId="5" borderId="23" xfId="0" applyNumberFormat="1" applyFont="1" applyFill="1" applyBorder="1" applyAlignment="1">
      <alignment horizontal="left" vertical="center"/>
    </xf>
    <xf numFmtId="0" fontId="5" fillId="2" borderId="13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2" borderId="15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0" fillId="0" borderId="7" xfId="0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166" fontId="20" fillId="5" borderId="16" xfId="0" applyNumberFormat="1" applyFont="1" applyFill="1" applyBorder="1" applyAlignment="1">
      <alignment horizontal="left" vertical="center"/>
    </xf>
    <xf numFmtId="0" fontId="13" fillId="3" borderId="13" xfId="0" applyFont="1" applyFill="1" applyBorder="1" applyAlignment="1">
      <alignment horizontal="left" vertical="center" wrapText="1"/>
    </xf>
    <xf numFmtId="0" fontId="13" fillId="3" borderId="14" xfId="0" applyFont="1" applyFill="1" applyBorder="1" applyAlignment="1">
      <alignment horizontal="left" vertical="center" wrapText="1"/>
    </xf>
    <xf numFmtId="0" fontId="13" fillId="3" borderId="13" xfId="0" applyFont="1" applyFill="1" applyBorder="1" applyAlignment="1">
      <alignment horizontal="left" vertical="center"/>
    </xf>
    <xf numFmtId="0" fontId="13" fillId="3" borderId="0" xfId="0" applyFont="1" applyFill="1" applyBorder="1" applyAlignment="1">
      <alignment horizontal="left" vertic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0" fontId="45" fillId="0" borderId="37" xfId="2" applyFont="1" applyBorder="1" applyAlignment="1">
      <alignment horizontal="center" vertical="center" textRotation="90" wrapText="1"/>
    </xf>
    <xf numFmtId="0" fontId="45" fillId="0" borderId="41" xfId="2" applyFont="1" applyBorder="1" applyAlignment="1">
      <alignment horizontal="center" vertical="center" textRotation="90" wrapText="1"/>
    </xf>
    <xf numFmtId="0" fontId="45" fillId="0" borderId="45" xfId="2" applyFont="1" applyBorder="1" applyAlignment="1">
      <alignment horizontal="center" vertical="center" textRotation="90" wrapText="1"/>
    </xf>
    <xf numFmtId="0" fontId="44" fillId="0" borderId="37" xfId="2" applyBorder="1" applyAlignment="1">
      <alignment horizontal="center" vertical="center" textRotation="90"/>
    </xf>
    <xf numFmtId="0" fontId="44" fillId="0" borderId="41" xfId="2" applyBorder="1" applyAlignment="1">
      <alignment horizontal="center" vertical="center" textRotation="90"/>
    </xf>
    <xf numFmtId="0" fontId="44" fillId="0" borderId="45" xfId="2" applyBorder="1" applyAlignment="1">
      <alignment horizontal="center" vertical="center" textRotation="90"/>
    </xf>
    <xf numFmtId="0" fontId="45" fillId="0" borderId="38" xfId="2" applyFont="1" applyBorder="1" applyAlignment="1">
      <alignment horizontal="center"/>
    </xf>
    <xf numFmtId="0" fontId="45" fillId="0" borderId="39" xfId="2" applyFont="1" applyBorder="1" applyAlignment="1">
      <alignment horizontal="center"/>
    </xf>
    <xf numFmtId="0" fontId="45" fillId="0" borderId="40" xfId="2" applyFont="1" applyBorder="1" applyAlignment="1">
      <alignment horizontal="center"/>
    </xf>
    <xf numFmtId="0" fontId="45" fillId="0" borderId="42" xfId="2" applyFont="1" applyBorder="1" applyAlignment="1">
      <alignment horizontal="center" textRotation="90"/>
    </xf>
    <xf numFmtId="0" fontId="45" fillId="0" borderId="46" xfId="2" applyFont="1" applyBorder="1" applyAlignment="1">
      <alignment horizontal="center" textRotation="90"/>
    </xf>
    <xf numFmtId="0" fontId="45" fillId="0" borderId="43" xfId="2" applyFont="1" applyBorder="1" applyAlignment="1">
      <alignment horizontal="center"/>
    </xf>
    <xf numFmtId="0" fontId="45" fillId="0" borderId="44" xfId="2" applyFont="1" applyBorder="1" applyAlignment="1">
      <alignment horizontal="center"/>
    </xf>
    <xf numFmtId="0" fontId="43" fillId="0" borderId="0" xfId="0" applyFont="1" applyAlignment="1">
      <alignment horizontal="left" vertical="top"/>
    </xf>
    <xf numFmtId="0" fontId="1" fillId="8" borderId="1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8" borderId="5" xfId="0" applyFont="1" applyFill="1" applyBorder="1" applyAlignment="1">
      <alignment horizontal="center"/>
    </xf>
    <xf numFmtId="0" fontId="1" fillId="8" borderId="8" xfId="0" applyFont="1" applyFill="1" applyBorder="1" applyAlignment="1">
      <alignment horizontal="center"/>
    </xf>
    <xf numFmtId="0" fontId="1" fillId="8" borderId="6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12" borderId="7" xfId="0" applyFont="1" applyFill="1" applyBorder="1" applyAlignment="1">
      <alignment horizontal="center"/>
    </xf>
    <xf numFmtId="0" fontId="1" fillId="12" borderId="2" xfId="0" applyFont="1" applyFill="1" applyBorder="1" applyAlignment="1">
      <alignment horizontal="center"/>
    </xf>
    <xf numFmtId="0" fontId="1" fillId="12" borderId="5" xfId="0" applyFont="1" applyFill="1" applyBorder="1" applyAlignment="1">
      <alignment horizontal="center"/>
    </xf>
    <xf numFmtId="0" fontId="1" fillId="12" borderId="8" xfId="0" applyFont="1" applyFill="1" applyBorder="1" applyAlignment="1">
      <alignment horizontal="center"/>
    </xf>
    <xf numFmtId="0" fontId="1" fillId="12" borderId="6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7" xfId="0" applyFont="1" applyFill="1" applyBorder="1" applyAlignment="1">
      <alignment horizontal="center"/>
    </xf>
    <xf numFmtId="0" fontId="1" fillId="11" borderId="2" xfId="0" applyFont="1" applyFill="1" applyBorder="1" applyAlignment="1">
      <alignment horizontal="center"/>
    </xf>
    <xf numFmtId="0" fontId="1" fillId="11" borderId="5" xfId="0" applyFont="1" applyFill="1" applyBorder="1" applyAlignment="1">
      <alignment horizontal="center"/>
    </xf>
    <xf numFmtId="0" fontId="1" fillId="11" borderId="8" xfId="0" applyFont="1" applyFill="1" applyBorder="1" applyAlignment="1">
      <alignment horizontal="center"/>
    </xf>
    <xf numFmtId="0" fontId="1" fillId="11" borderId="6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0" borderId="7" xfId="0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0" fontId="1" fillId="10" borderId="5" xfId="0" applyFont="1" applyFill="1" applyBorder="1" applyAlignment="1">
      <alignment horizontal="center"/>
    </xf>
    <xf numFmtId="0" fontId="1" fillId="10" borderId="8" xfId="0" applyFont="1" applyFill="1" applyBorder="1" applyAlignment="1">
      <alignment horizontal="center"/>
    </xf>
    <xf numFmtId="0" fontId="1" fillId="10" borderId="6" xfId="0" applyFont="1" applyFill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</cellXfs>
  <cellStyles count="3">
    <cellStyle name="Normal" xfId="0" builtinId="0"/>
    <cellStyle name="Normal 4" xfId="1" xr:uid="{48934BD7-6A5F-4B4A-AAEF-D15231B4FC0E}"/>
    <cellStyle name="Standard 2" xfId="2" xr:uid="{6D8FE22D-F151-4AF5-8E12-A01B206296C0}"/>
  </cellStyles>
  <dxfs count="6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jpeg"/><Relationship Id="rId1" Type="http://schemas.openxmlformats.org/officeDocument/2006/relationships/image" Target="../media/image8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jpeg"/><Relationship Id="rId1" Type="http://schemas.openxmlformats.org/officeDocument/2006/relationships/image" Target="../media/image13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jpeg"/><Relationship Id="rId1" Type="http://schemas.openxmlformats.org/officeDocument/2006/relationships/image" Target="../media/image15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png"/><Relationship Id="rId1" Type="http://schemas.openxmlformats.org/officeDocument/2006/relationships/image" Target="../media/image10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220436</xdr:colOff>
      <xdr:row>2</xdr:row>
      <xdr:rowOff>205469</xdr:rowOff>
    </xdr:from>
    <xdr:to>
      <xdr:col>23</xdr:col>
      <xdr:colOff>368318</xdr:colOff>
      <xdr:row>19</xdr:row>
      <xdr:rowOff>3123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98BEB63-B928-4BC4-828C-18E5857DE0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2543" y="668112"/>
          <a:ext cx="8407177" cy="3722914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533400</xdr:colOff>
      <xdr:row>0</xdr:row>
      <xdr:rowOff>129540</xdr:rowOff>
    </xdr:from>
    <xdr:to>
      <xdr:col>1</xdr:col>
      <xdr:colOff>2161279</xdr:colOff>
      <xdr:row>2</xdr:row>
      <xdr:rowOff>134337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2E977528-169A-4342-91F4-3BB020D9DF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29540"/>
          <a:ext cx="2156460" cy="4467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358589</xdr:colOff>
      <xdr:row>171</xdr:row>
      <xdr:rowOff>116541</xdr:rowOff>
    </xdr:from>
    <xdr:to>
      <xdr:col>22</xdr:col>
      <xdr:colOff>514091</xdr:colOff>
      <xdr:row>193</xdr:row>
      <xdr:rowOff>114926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ED6549-32D5-48B7-A875-76D8C8B472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64189" y="8758517"/>
          <a:ext cx="5657143" cy="3942857"/>
        </a:xfrm>
        <a:prstGeom prst="rect">
          <a:avLst/>
        </a:prstGeom>
      </xdr:spPr>
    </xdr:pic>
    <xdr:clientData/>
  </xdr:twoCellAnchor>
  <xdr:twoCellAnchor editAs="oneCell">
    <xdr:from>
      <xdr:col>23</xdr:col>
      <xdr:colOff>209016</xdr:colOff>
      <xdr:row>50</xdr:row>
      <xdr:rowOff>44824</xdr:rowOff>
    </xdr:from>
    <xdr:to>
      <xdr:col>30</xdr:col>
      <xdr:colOff>512729</xdr:colOff>
      <xdr:row>76</xdr:row>
      <xdr:rowOff>169457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43CD0A5-87AA-4FE8-B1A8-2256B27A3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252663" y="8146677"/>
          <a:ext cx="4539537" cy="4786280"/>
        </a:xfrm>
        <a:prstGeom prst="rect">
          <a:avLst/>
        </a:prstGeom>
      </xdr:spPr>
    </xdr:pic>
    <xdr:clientData/>
  </xdr:twoCellAnchor>
  <xdr:twoCellAnchor editAs="oneCell">
    <xdr:from>
      <xdr:col>12</xdr:col>
      <xdr:colOff>291353</xdr:colOff>
      <xdr:row>120</xdr:row>
      <xdr:rowOff>134471</xdr:rowOff>
    </xdr:from>
    <xdr:to>
      <xdr:col>17</xdr:col>
      <xdr:colOff>362908</xdr:colOff>
      <xdr:row>147</xdr:row>
      <xdr:rowOff>53531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10D9033-54EB-447C-B832-786F27861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78706" y="20786912"/>
          <a:ext cx="3093333" cy="4752381"/>
        </a:xfrm>
        <a:prstGeom prst="rect">
          <a:avLst/>
        </a:prstGeom>
      </xdr:spPr>
    </xdr:pic>
    <xdr:clientData/>
  </xdr:twoCellAnchor>
  <xdr:twoCellAnchor editAs="oneCell">
    <xdr:from>
      <xdr:col>8</xdr:col>
      <xdr:colOff>175484</xdr:colOff>
      <xdr:row>21</xdr:row>
      <xdr:rowOff>22006</xdr:rowOff>
    </xdr:from>
    <xdr:to>
      <xdr:col>14</xdr:col>
      <xdr:colOff>244914</xdr:colOff>
      <xdr:row>31</xdr:row>
      <xdr:rowOff>172465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39F8F87-115C-4D4D-AF97-32C8D87CC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352602" y="3462212"/>
          <a:ext cx="3690611" cy="1935779"/>
        </a:xfrm>
        <a:prstGeom prst="rect">
          <a:avLst/>
        </a:prstGeom>
      </xdr:spPr>
    </xdr:pic>
    <xdr:clientData/>
  </xdr:twoCellAnchor>
  <xdr:twoCellAnchor editAs="oneCell">
    <xdr:from>
      <xdr:col>8</xdr:col>
      <xdr:colOff>171674</xdr:colOff>
      <xdr:row>32</xdr:row>
      <xdr:rowOff>132739</xdr:rowOff>
    </xdr:from>
    <xdr:to>
      <xdr:col>20</xdr:col>
      <xdr:colOff>268941</xdr:colOff>
      <xdr:row>56</xdr:row>
      <xdr:rowOff>172099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8D0D64D-89E2-4FF1-B5F1-880C346DB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348792" y="5545180"/>
          <a:ext cx="7358679" cy="43424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175</xdr:row>
      <xdr:rowOff>0</xdr:rowOff>
    </xdr:from>
    <xdr:to>
      <xdr:col>8</xdr:col>
      <xdr:colOff>74295</xdr:colOff>
      <xdr:row>199</xdr:row>
      <xdr:rowOff>37456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F33180DD-CDEA-4797-885A-B0FC52410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30345529"/>
          <a:ext cx="7349154" cy="43405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600749</xdr:colOff>
      <xdr:row>2</xdr:row>
      <xdr:rowOff>202155</xdr:rowOff>
    </xdr:from>
    <xdr:to>
      <xdr:col>25</xdr:col>
      <xdr:colOff>451148</xdr:colOff>
      <xdr:row>22</xdr:row>
      <xdr:rowOff>207784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F23EC4F-29B0-494D-96AF-4502A0661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2190" y="650390"/>
          <a:ext cx="9671348" cy="4487982"/>
        </a:xfrm>
        <a:prstGeom prst="rect">
          <a:avLst/>
        </a:prstGeom>
      </xdr:spPr>
    </xdr:pic>
    <xdr:clientData/>
  </xdr:twoCellAnchor>
  <xdr:twoCellAnchor editAs="oneCell">
    <xdr:from>
      <xdr:col>0</xdr:col>
      <xdr:colOff>335280</xdr:colOff>
      <xdr:row>0</xdr:row>
      <xdr:rowOff>114300</xdr:rowOff>
    </xdr:from>
    <xdr:to>
      <xdr:col>2</xdr:col>
      <xdr:colOff>222988</xdr:colOff>
      <xdr:row>2</xdr:row>
      <xdr:rowOff>173355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7CC804E-DEDF-4777-A36B-B1FB84AFC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" y="114300"/>
          <a:ext cx="2537899" cy="5257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196215</xdr:colOff>
      <xdr:row>15</xdr:row>
      <xdr:rowOff>150495</xdr:rowOff>
    </xdr:from>
    <xdr:to>
      <xdr:col>15</xdr:col>
      <xdr:colOff>344804</xdr:colOff>
      <xdr:row>41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E16940-817B-46C3-8642-4DE094FC0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855" y="1994535"/>
          <a:ext cx="3806190" cy="47682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409575</xdr:colOff>
      <xdr:row>20</xdr:row>
      <xdr:rowOff>66675</xdr:rowOff>
    </xdr:from>
    <xdr:to>
      <xdr:col>20</xdr:col>
      <xdr:colOff>517841</xdr:colOff>
      <xdr:row>36</xdr:row>
      <xdr:rowOff>169170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49216C1-7412-4798-B55F-D7927E567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49100" y="3705225"/>
          <a:ext cx="2552381" cy="299809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26</xdr:col>
      <xdr:colOff>589180</xdr:colOff>
      <xdr:row>79</xdr:row>
      <xdr:rowOff>54470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80E47E1-91A6-416F-9E5F-79908FAAFC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172325" y="8162925"/>
          <a:ext cx="10960000" cy="620190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68580</xdr:colOff>
      <xdr:row>2</xdr:row>
      <xdr:rowOff>220980</xdr:rowOff>
    </xdr:from>
    <xdr:to>
      <xdr:col>33</xdr:col>
      <xdr:colOff>147916</xdr:colOff>
      <xdr:row>19</xdr:row>
      <xdr:rowOff>22221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DCBF0D7-4E84-4F14-962B-79D7B4D6D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8060" y="906780"/>
          <a:ext cx="8389620" cy="3679821"/>
        </a:xfrm>
        <a:prstGeom prst="rect">
          <a:avLst/>
        </a:prstGeom>
      </xdr:spPr>
    </xdr:pic>
    <xdr:clientData/>
  </xdr:twoCellAnchor>
  <xdr:twoCellAnchor editAs="oneCell">
    <xdr:from>
      <xdr:col>0</xdr:col>
      <xdr:colOff>525780</xdr:colOff>
      <xdr:row>0</xdr:row>
      <xdr:rowOff>137160</xdr:rowOff>
    </xdr:from>
    <xdr:to>
      <xdr:col>2</xdr:col>
      <xdr:colOff>68468</xdr:colOff>
      <xdr:row>2</xdr:row>
      <xdr:rowOff>172224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DD18EA5-C64D-49B2-A9C2-F14CE3C699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780" y="137160"/>
          <a:ext cx="2339340" cy="4846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99060</xdr:colOff>
      <xdr:row>3</xdr:row>
      <xdr:rowOff>309</xdr:rowOff>
    </xdr:from>
    <xdr:to>
      <xdr:col>24</xdr:col>
      <xdr:colOff>460898</xdr:colOff>
      <xdr:row>19</xdr:row>
      <xdr:rowOff>18097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988A5F1-8B97-4DDE-A750-483BA07F1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5180" y="914709"/>
          <a:ext cx="8389620" cy="3679198"/>
        </a:xfrm>
        <a:prstGeom prst="rect">
          <a:avLst/>
        </a:prstGeom>
      </xdr:spPr>
    </xdr:pic>
    <xdr:clientData/>
  </xdr:twoCellAnchor>
  <xdr:twoCellAnchor editAs="oneCell">
    <xdr:from>
      <xdr:col>0</xdr:col>
      <xdr:colOff>251880</xdr:colOff>
      <xdr:row>0</xdr:row>
      <xdr:rowOff>106680</xdr:rowOff>
    </xdr:from>
    <xdr:to>
      <xdr:col>2</xdr:col>
      <xdr:colOff>104103</xdr:colOff>
      <xdr:row>2</xdr:row>
      <xdr:rowOff>170999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79E9F835-8299-4E21-A56F-AD3D483E8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880" y="106680"/>
          <a:ext cx="2498940" cy="51770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196215</xdr:colOff>
      <xdr:row>17</xdr:row>
      <xdr:rowOff>150495</xdr:rowOff>
    </xdr:from>
    <xdr:to>
      <xdr:col>24</xdr:col>
      <xdr:colOff>344803</xdr:colOff>
      <xdr:row>43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C2733F-6A88-4E03-A78B-84F2EABAC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" y="2360295"/>
          <a:ext cx="3806190" cy="47682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129337</xdr:colOff>
      <xdr:row>151</xdr:row>
      <xdr:rowOff>88656</xdr:rowOff>
    </xdr:from>
    <xdr:to>
      <xdr:col>33</xdr:col>
      <xdr:colOff>59205</xdr:colOff>
      <xdr:row>191</xdr:row>
      <xdr:rowOff>133071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B578B8C-50BF-4579-8FD6-2E33E560D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52655" y="26291065"/>
          <a:ext cx="9624239" cy="698519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100965</xdr:colOff>
      <xdr:row>16</xdr:row>
      <xdr:rowOff>36195</xdr:rowOff>
    </xdr:from>
    <xdr:to>
      <xdr:col>24</xdr:col>
      <xdr:colOff>249555</xdr:colOff>
      <xdr:row>42</xdr:row>
      <xdr:rowOff>77881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D5864F-530D-450F-A73A-379A0E9FB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5815" y="3084195"/>
          <a:ext cx="3806190" cy="4994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12S03\department$\Users\dcabal\Desktop\Temporaire\K&#252;schall%20calculator_F_2021-08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ct 2.0"/>
      <sheetName val="Values Compact"/>
      <sheetName val="Champion 2.0 "/>
      <sheetName val="Values Champion"/>
      <sheetName val="K-Series 2.0"/>
      <sheetName val="Values K-Series"/>
      <sheetName val="The KSL 2.0"/>
      <sheetName val="KT Champion"/>
      <sheetName val="Values KSL"/>
    </sheetNames>
    <sheetDataSet>
      <sheetData sheetId="0"/>
      <sheetData sheetId="1"/>
      <sheetData sheetId="2"/>
      <sheetData sheetId="3"/>
      <sheetData sheetId="4"/>
      <sheetData sheetId="5"/>
      <sheetData sheetId="6">
        <row r="29">
          <cell r="B29" t="str">
            <v>3 = 110mm</v>
          </cell>
        </row>
      </sheetData>
      <sheetData sheetId="7"/>
      <sheetData sheetId="8">
        <row r="36">
          <cell r="H36">
            <v>80</v>
          </cell>
          <cell r="I36">
            <v>65</v>
          </cell>
          <cell r="J36">
            <v>50</v>
          </cell>
          <cell r="K36">
            <v>35</v>
          </cell>
          <cell r="L36">
            <v>20</v>
          </cell>
        </row>
        <row r="37">
          <cell r="H37">
            <v>79</v>
          </cell>
          <cell r="I37">
            <v>64</v>
          </cell>
          <cell r="J37">
            <v>49</v>
          </cell>
          <cell r="K37">
            <v>34</v>
          </cell>
          <cell r="L37">
            <v>19</v>
          </cell>
        </row>
        <row r="38">
          <cell r="H38">
            <v>78</v>
          </cell>
          <cell r="I38">
            <v>63</v>
          </cell>
          <cell r="J38">
            <v>48</v>
          </cell>
          <cell r="K38">
            <v>33</v>
          </cell>
          <cell r="L38">
            <v>18</v>
          </cell>
        </row>
        <row r="39">
          <cell r="H39">
            <v>77</v>
          </cell>
          <cell r="I39">
            <v>62</v>
          </cell>
          <cell r="J39">
            <v>47</v>
          </cell>
          <cell r="K39">
            <v>32</v>
          </cell>
          <cell r="L39">
            <v>17</v>
          </cell>
        </row>
        <row r="40">
          <cell r="H40">
            <v>76</v>
          </cell>
          <cell r="I40">
            <v>61</v>
          </cell>
          <cell r="J40">
            <v>46</v>
          </cell>
          <cell r="K40">
            <v>31</v>
          </cell>
          <cell r="L40">
            <v>16</v>
          </cell>
        </row>
        <row r="41">
          <cell r="H41">
            <v>75</v>
          </cell>
          <cell r="I41">
            <v>60</v>
          </cell>
          <cell r="J41">
            <v>45</v>
          </cell>
          <cell r="K41">
            <v>30</v>
          </cell>
          <cell r="L41">
            <v>15</v>
          </cell>
        </row>
        <row r="42">
          <cell r="H42">
            <v>74</v>
          </cell>
          <cell r="I42">
            <v>59</v>
          </cell>
          <cell r="J42">
            <v>44</v>
          </cell>
          <cell r="K42">
            <v>29</v>
          </cell>
          <cell r="L42">
            <v>14</v>
          </cell>
        </row>
        <row r="43">
          <cell r="H43">
            <v>73</v>
          </cell>
          <cell r="I43">
            <v>58</v>
          </cell>
          <cell r="J43">
            <v>43</v>
          </cell>
          <cell r="K43">
            <v>28</v>
          </cell>
          <cell r="L43">
            <v>13</v>
          </cell>
        </row>
        <row r="44">
          <cell r="H44">
            <v>72</v>
          </cell>
          <cell r="I44">
            <v>57</v>
          </cell>
          <cell r="J44">
            <v>42</v>
          </cell>
          <cell r="K44">
            <v>27</v>
          </cell>
          <cell r="L44">
            <v>12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09FC7-E864-4A41-AC94-77F6E4ECCB1F}">
  <dimension ref="B1:AC70"/>
  <sheetViews>
    <sheetView showGridLines="0" tabSelected="1" topLeftCell="A30" zoomScale="80" zoomScaleNormal="80" workbookViewId="0">
      <selection activeCell="C40" sqref="C40:C41"/>
    </sheetView>
  </sheetViews>
  <sheetFormatPr defaultColWidth="8.90625" defaultRowHeight="18" customHeight="1" x14ac:dyDescent="0.35"/>
  <cols>
    <col min="1" max="1" width="5.81640625" style="86" customWidth="1"/>
    <col min="2" max="3" width="32.81640625" style="86" customWidth="1"/>
    <col min="4" max="5" width="8.90625" style="87" hidden="1" customWidth="1"/>
    <col min="6" max="10" width="8.90625" style="86" hidden="1" customWidth="1"/>
    <col min="11" max="11" width="8.90625" style="86" customWidth="1"/>
    <col min="12" max="13" width="8.90625" style="86"/>
    <col min="14" max="14" width="62.54296875" style="86" customWidth="1"/>
    <col min="15" max="15" width="2" style="86" hidden="1" customWidth="1"/>
    <col min="16" max="17" width="8.90625" style="86" hidden="1" customWidth="1"/>
    <col min="18" max="18" width="1" style="86" hidden="1" customWidth="1"/>
    <col min="19" max="19" width="15.54296875" style="86" hidden="1" customWidth="1"/>
    <col min="20" max="20" width="12.90625" style="86" customWidth="1"/>
    <col min="21" max="16384" width="8.90625" style="86"/>
  </cols>
  <sheetData>
    <row r="1" spans="2:15" ht="18" customHeight="1" x14ac:dyDescent="0.35"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</row>
    <row r="2" spans="2:15" ht="18" customHeight="1" x14ac:dyDescent="0.35"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2:15" ht="18" customHeight="1" thickBot="1" x14ac:dyDescent="0.4"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</row>
    <row r="4" spans="2:15" ht="18" customHeight="1" x14ac:dyDescent="0.35">
      <c r="B4" s="341" t="s">
        <v>79</v>
      </c>
      <c r="C4" s="339" t="s">
        <v>78</v>
      </c>
    </row>
    <row r="5" spans="2:15" ht="18" customHeight="1" x14ac:dyDescent="0.35">
      <c r="B5" s="342"/>
      <c r="C5" s="340"/>
    </row>
    <row r="6" spans="2:15" ht="18" customHeight="1" x14ac:dyDescent="0.35">
      <c r="B6" s="88" t="s">
        <v>955</v>
      </c>
      <c r="C6" s="89"/>
      <c r="D6" s="135" t="s">
        <v>438</v>
      </c>
      <c r="E6" s="135" t="s">
        <v>449</v>
      </c>
      <c r="F6" s="136" t="s">
        <v>443</v>
      </c>
      <c r="G6" s="136" t="s">
        <v>1072</v>
      </c>
    </row>
    <row r="7" spans="2:15" ht="18" customHeight="1" x14ac:dyDescent="0.35">
      <c r="B7" s="90" t="s">
        <v>1073</v>
      </c>
      <c r="C7" s="91" t="str">
        <f>VLOOKUP(B7,'Values Compact'!A5:E8,2,0)</f>
        <v>DCA3000/3100</v>
      </c>
      <c r="D7" s="131">
        <f>VLOOKUP(B7,'Values Compact'!A5:E8,3,0)</f>
        <v>149.09</v>
      </c>
      <c r="E7" s="131">
        <f>VLOOKUP(B7,'Values Compact'!A5:E8,4,0)</f>
        <v>3.44</v>
      </c>
      <c r="F7" s="86">
        <f>D7+(((D19-200)/10)*E7)+G11</f>
        <v>228.21</v>
      </c>
      <c r="G7" s="86">
        <f>VLOOKUP(B7,'Values Compact'!A5:E8,5,0)</f>
        <v>59</v>
      </c>
    </row>
    <row r="8" spans="2:15" ht="18" customHeight="1" x14ac:dyDescent="0.35">
      <c r="B8" s="88" t="s">
        <v>969</v>
      </c>
      <c r="C8" s="89"/>
      <c r="D8" s="102" t="s">
        <v>51</v>
      </c>
      <c r="E8" s="102"/>
    </row>
    <row r="9" spans="2:15" ht="18" customHeight="1" x14ac:dyDescent="0.35">
      <c r="B9" s="90" t="s">
        <v>19</v>
      </c>
      <c r="C9" s="91" t="str">
        <f>VLOOKUP(B9,'Values Compact'!A10:C21,2,0)</f>
        <v>DCA1345</v>
      </c>
      <c r="D9" s="165">
        <f>VLOOKUP(C9,'Values Compact'!B10:G21,2,0)</f>
        <v>467</v>
      </c>
      <c r="E9" s="165"/>
    </row>
    <row r="10" spans="2:15" ht="18" customHeight="1" x14ac:dyDescent="0.35">
      <c r="B10" s="88" t="s">
        <v>970</v>
      </c>
      <c r="C10" s="89"/>
      <c r="D10" s="135" t="s">
        <v>418</v>
      </c>
      <c r="E10" s="135" t="s">
        <v>422</v>
      </c>
      <c r="F10" s="136" t="s">
        <v>403</v>
      </c>
      <c r="G10" s="136" t="s">
        <v>652</v>
      </c>
    </row>
    <row r="11" spans="2:15" ht="18" customHeight="1" x14ac:dyDescent="0.35">
      <c r="B11" s="90" t="s">
        <v>494</v>
      </c>
      <c r="C11" s="91" t="str">
        <f>VLOOKUP(B11,'Values Compact'!A23:C32,2,0)</f>
        <v>DCA1490</v>
      </c>
      <c r="D11" s="159">
        <f>VLOOKUP(B11,'Values Compact'!A23:D32,3,0)</f>
        <v>483</v>
      </c>
      <c r="E11" s="166">
        <f>D29-106+D11</f>
        <v>439.5</v>
      </c>
      <c r="F11" s="159">
        <f>VLOOKUP(B11,'Values Compact'!A23:D32,4,0)</f>
        <v>108</v>
      </c>
      <c r="G11" s="86">
        <f>IF(B7="70°",VLOOKUP(B11,'Values Compact'!A23:G32,5,0),VLOOKUP(B11,'Values Compact'!A23:G32,6,0))</f>
        <v>0</v>
      </c>
    </row>
    <row r="12" spans="2:15" ht="18" customHeight="1" x14ac:dyDescent="0.35">
      <c r="B12" s="88" t="s">
        <v>971</v>
      </c>
      <c r="C12" s="89"/>
      <c r="D12" s="204" t="s">
        <v>474</v>
      </c>
      <c r="E12" s="166"/>
    </row>
    <row r="13" spans="2:15" ht="18" customHeight="1" x14ac:dyDescent="0.35">
      <c r="B13" s="170" t="s">
        <v>301</v>
      </c>
      <c r="C13" s="171" t="str">
        <f>VLOOKUP(B13,'Values Compact'!A34:C48,2,0)</f>
        <v>DCA1650</v>
      </c>
      <c r="D13" s="159">
        <f>VLOOKUP(B13,'Values Compact'!A34:C48,3,0)</f>
        <v>405</v>
      </c>
      <c r="E13" s="166"/>
    </row>
    <row r="14" spans="2:15" ht="18" customHeight="1" x14ac:dyDescent="0.35">
      <c r="B14" s="88" t="s">
        <v>956</v>
      </c>
      <c r="C14" s="89"/>
      <c r="D14" s="172" t="s">
        <v>478</v>
      </c>
      <c r="E14" s="135" t="s">
        <v>442</v>
      </c>
      <c r="F14" s="155" t="s">
        <v>441</v>
      </c>
    </row>
    <row r="15" spans="2:15" ht="18" customHeight="1" x14ac:dyDescent="0.35">
      <c r="B15" s="170" t="s">
        <v>324</v>
      </c>
      <c r="C15" s="171" t="str">
        <f>VLOOKUP(B15,'Values Compact'!A25:C134,2,0)</f>
        <v>DCA1765</v>
      </c>
      <c r="D15" s="159">
        <f>VLOOKUP(B15,'Values Compact'!A25:C134,3,0)</f>
        <v>500</v>
      </c>
      <c r="E15" s="166">
        <f>SIN((VLOOKUP(B15,'Values Compact'!A25:C134,3,0)-VLOOKUP(B17,'Values Compact'!A27:C136,3,0))/(D11-D21))</f>
        <v>0.10778158143262427</v>
      </c>
      <c r="F15" s="86">
        <f>E15*(180/3.141592)</f>
        <v>6.1754310100969088</v>
      </c>
    </row>
    <row r="16" spans="2:15" ht="18" customHeight="1" x14ac:dyDescent="0.35">
      <c r="B16" s="88" t="s">
        <v>957</v>
      </c>
      <c r="C16" s="89"/>
      <c r="D16" s="172" t="s">
        <v>479</v>
      </c>
      <c r="E16" s="166"/>
    </row>
    <row r="17" spans="2:20" ht="18" customHeight="1" x14ac:dyDescent="0.35">
      <c r="B17" s="170" t="s">
        <v>352</v>
      </c>
      <c r="C17" s="171" t="str">
        <f>VLOOKUP(B17,'Values Compact'!A27:C136,2,0)</f>
        <v>DCA1845</v>
      </c>
      <c r="D17" s="159">
        <f>VLOOKUP(B17,'Values Compact'!A27:C136,3,0)</f>
        <v>450</v>
      </c>
      <c r="E17" s="166"/>
    </row>
    <row r="18" spans="2:20" ht="18" customHeight="1" x14ac:dyDescent="0.35">
      <c r="B18" s="88" t="s">
        <v>958</v>
      </c>
      <c r="C18" s="89"/>
      <c r="D18" s="172" t="s">
        <v>440</v>
      </c>
      <c r="E18" s="203" t="s">
        <v>423</v>
      </c>
    </row>
    <row r="19" spans="2:20" ht="18" customHeight="1" x14ac:dyDescent="0.35">
      <c r="B19" s="170" t="s">
        <v>387</v>
      </c>
      <c r="C19" s="171" t="str">
        <f>VLOOKUP(B19,'Values Compact'!A83:C114,2,0)</f>
        <v>DCA1946</v>
      </c>
      <c r="D19" s="159">
        <f>VLOOKUP(B19,'Values Compact'!A83:C114,3,0)</f>
        <v>430</v>
      </c>
      <c r="E19" s="166">
        <f>SQRT(POWER(VLOOKUP(B19,'Values Compact'!A83:D114,3,0),2)-POWER(F7-130,2))</f>
        <v>418.63444184634403</v>
      </c>
    </row>
    <row r="20" spans="2:20" ht="18" customHeight="1" x14ac:dyDescent="0.35">
      <c r="B20" s="88" t="s">
        <v>959</v>
      </c>
      <c r="C20" s="89"/>
      <c r="D20" s="172" t="s">
        <v>401</v>
      </c>
      <c r="E20" s="204" t="s">
        <v>475</v>
      </c>
      <c r="F20" s="205" t="s">
        <v>476</v>
      </c>
    </row>
    <row r="21" spans="2:20" ht="18" customHeight="1" x14ac:dyDescent="0.35">
      <c r="B21" s="170" t="s">
        <v>619</v>
      </c>
      <c r="C21" s="171" t="str">
        <f>VLOOKUP(B21,'Values Compact'!A116:C123,2,0)</f>
        <v>DCA2160</v>
      </c>
      <c r="D21" s="159">
        <f>VLOOKUP(B21,'Values Compact'!A116:C123,3,0)</f>
        <v>20</v>
      </c>
      <c r="E21" s="201">
        <f>VLOOKUP(B21,'Values Compact'!A116:D123,4,0)</f>
        <v>86</v>
      </c>
      <c r="F21" s="208">
        <f>COS((90-C46)*(3.141592/180))*D13</f>
        <v>404.70148127049652</v>
      </c>
    </row>
    <row r="22" spans="2:20" ht="18" customHeight="1" x14ac:dyDescent="0.35">
      <c r="B22" s="88" t="s">
        <v>1004</v>
      </c>
      <c r="C22" s="89"/>
      <c r="D22" s="160" t="s">
        <v>480</v>
      </c>
      <c r="E22" s="166"/>
      <c r="N22" s="92" t="s">
        <v>972</v>
      </c>
      <c r="O22" s="92"/>
    </row>
    <row r="23" spans="2:20" ht="18" customHeight="1" x14ac:dyDescent="0.35">
      <c r="B23" s="170" t="s">
        <v>1020</v>
      </c>
      <c r="C23" s="171" t="str">
        <f>VLOOKUP(B23,'Values Compact'!A125:C128,2,0)</f>
        <v>DCA2410</v>
      </c>
      <c r="D23" s="159">
        <f>VLOOKUP(B23,'Values Compact'!A125:C128,3,0)</f>
        <v>25</v>
      </c>
      <c r="E23" s="166"/>
      <c r="N23" s="93" t="s">
        <v>973</v>
      </c>
    </row>
    <row r="24" spans="2:20" ht="18" customHeight="1" x14ac:dyDescent="0.35">
      <c r="B24" s="88" t="s">
        <v>1006</v>
      </c>
      <c r="C24" s="89"/>
      <c r="D24" s="159"/>
      <c r="E24" s="166"/>
      <c r="M24" s="92"/>
      <c r="N24" s="93" t="s">
        <v>974</v>
      </c>
    </row>
    <row r="25" spans="2:20" ht="18" customHeight="1" x14ac:dyDescent="0.35">
      <c r="B25" s="170" t="s">
        <v>1025</v>
      </c>
      <c r="C25" s="171" t="str">
        <f>VLOOKUP(B25,'Values Compact'!A130:C132,2,0)</f>
        <v>DCA3280</v>
      </c>
      <c r="D25" s="159"/>
      <c r="E25" s="166"/>
      <c r="N25" s="93" t="s">
        <v>975</v>
      </c>
    </row>
    <row r="26" spans="2:20" ht="18" customHeight="1" x14ac:dyDescent="0.35">
      <c r="B26" s="88" t="s">
        <v>1007</v>
      </c>
      <c r="C26" s="89"/>
      <c r="D26" s="102" t="s">
        <v>52</v>
      </c>
      <c r="E26" s="102"/>
      <c r="N26" s="93" t="s">
        <v>976</v>
      </c>
      <c r="O26" s="93"/>
      <c r="P26" s="94"/>
    </row>
    <row r="27" spans="2:20" ht="18" customHeight="1" x14ac:dyDescent="0.35">
      <c r="B27" s="90" t="s">
        <v>1027</v>
      </c>
      <c r="C27" s="91" t="str">
        <f>VLOOKUP(B27,'Values Compact'!A134:C135,2,0)</f>
        <v>DCAXXXX</v>
      </c>
      <c r="D27" s="165">
        <f>VLOOKUP(C27,'Values Compact'!B134:G135,2,0)</f>
        <v>0</v>
      </c>
      <c r="E27" s="165"/>
      <c r="N27" s="93" t="s">
        <v>977</v>
      </c>
      <c r="O27" s="93"/>
    </row>
    <row r="28" spans="2:20" ht="18" customHeight="1" x14ac:dyDescent="0.35">
      <c r="B28" s="88" t="s">
        <v>960</v>
      </c>
      <c r="C28" s="89"/>
      <c r="D28" s="135" t="s">
        <v>404</v>
      </c>
      <c r="E28" s="165"/>
      <c r="N28" s="93" t="s">
        <v>978</v>
      </c>
      <c r="O28" s="93"/>
    </row>
    <row r="29" spans="2:20" ht="18" customHeight="1" x14ac:dyDescent="0.35">
      <c r="B29" s="119">
        <v>2</v>
      </c>
      <c r="C29" s="91" t="str">
        <f>VLOOKUP(B29,'Values Compact'!A145:C150,2,0)</f>
        <v>DCA6110</v>
      </c>
      <c r="D29" s="159">
        <f>VLOOKUP(B29,'Values Compact'!A145:D150,3,0)</f>
        <v>62.5</v>
      </c>
      <c r="E29" s="166"/>
      <c r="O29" s="93"/>
    </row>
    <row r="30" spans="2:20" ht="18" customHeight="1" x14ac:dyDescent="0.35">
      <c r="B30" s="88" t="s">
        <v>961</v>
      </c>
      <c r="C30" s="89"/>
      <c r="D30" s="102" t="s">
        <v>55</v>
      </c>
      <c r="E30" s="135" t="s">
        <v>446</v>
      </c>
      <c r="N30" s="92" t="s">
        <v>979</v>
      </c>
      <c r="Q30" s="93"/>
      <c r="R30" s="93"/>
    </row>
    <row r="31" spans="2:20" ht="18" customHeight="1" x14ac:dyDescent="0.35">
      <c r="B31" s="90" t="s">
        <v>31</v>
      </c>
      <c r="C31" s="91" t="str">
        <f>VLOOKUP(B31,'Values Compact'!A152:C155,2,0)</f>
        <v>DCA6410</v>
      </c>
      <c r="D31" s="167">
        <f>2*((VLOOKUP(B31,'Values Compact'!A152:C155,3,0)/2)*(VLOOKUP(B37,'Values Compact'!A142:G143,4,0)*(3.141592/180)))</f>
        <v>31.918574720000002</v>
      </c>
      <c r="E31" s="167">
        <f>VLOOKUP(B31,'Values Compact'!A152:D155,3,0)/2</f>
        <v>304.8</v>
      </c>
      <c r="H31" s="202"/>
      <c r="N31" s="93" t="s">
        <v>1003</v>
      </c>
      <c r="T31" s="282" t="s">
        <v>1000</v>
      </c>
    </row>
    <row r="32" spans="2:20" ht="18" customHeight="1" x14ac:dyDescent="0.35">
      <c r="B32" s="88" t="s">
        <v>962</v>
      </c>
      <c r="C32" s="89"/>
      <c r="D32" s="102" t="s">
        <v>53</v>
      </c>
      <c r="E32" s="102" t="s">
        <v>186</v>
      </c>
      <c r="N32" s="93" t="s">
        <v>981</v>
      </c>
      <c r="T32" s="282" t="s">
        <v>1000</v>
      </c>
    </row>
    <row r="33" spans="2:29" ht="18" customHeight="1" x14ac:dyDescent="0.35">
      <c r="B33" s="90" t="s">
        <v>39</v>
      </c>
      <c r="C33" s="91" t="str">
        <f>VLOOKUP(B33,'Values Compact'!A137:C140,2,0)</f>
        <v>DCA6510</v>
      </c>
      <c r="D33" s="165">
        <f>VLOOKUP(C33,'Values Compact'!B137:G140,2,0)</f>
        <v>53</v>
      </c>
      <c r="E33" s="165">
        <f>IF(AND( B33="Active",B27="Armrest Küschall"),-6,0)</f>
        <v>0</v>
      </c>
      <c r="N33" s="93" t="s">
        <v>982</v>
      </c>
      <c r="T33" s="282" t="s">
        <v>1001</v>
      </c>
    </row>
    <row r="34" spans="2:29" ht="18" customHeight="1" x14ac:dyDescent="0.35">
      <c r="B34" s="88" t="s">
        <v>963</v>
      </c>
      <c r="C34" s="89"/>
      <c r="D34" s="102" t="s">
        <v>76</v>
      </c>
      <c r="E34" s="102"/>
      <c r="N34" s="93" t="s">
        <v>983</v>
      </c>
      <c r="T34" s="282" t="s">
        <v>1002</v>
      </c>
    </row>
    <row r="35" spans="2:29" ht="18" customHeight="1" x14ac:dyDescent="0.35">
      <c r="B35" s="90" t="s">
        <v>1034</v>
      </c>
      <c r="C35" s="91" t="str">
        <f>VLOOKUP(B35,'Values Compact'!A157:C166,2,0)</f>
        <v>DCA6790</v>
      </c>
      <c r="D35" s="165">
        <f>VLOOKUP(C35,'Values Compact'!B157:G166,2,0)</f>
        <v>90</v>
      </c>
      <c r="E35" s="165"/>
      <c r="N35" s="93" t="s">
        <v>984</v>
      </c>
      <c r="T35" s="282" t="s">
        <v>1002</v>
      </c>
    </row>
    <row r="36" spans="2:29" ht="18" customHeight="1" x14ac:dyDescent="0.35">
      <c r="B36" s="88" t="s">
        <v>964</v>
      </c>
      <c r="C36" s="89"/>
      <c r="D36" s="102" t="s">
        <v>54</v>
      </c>
      <c r="E36" s="102"/>
      <c r="N36" s="93" t="s">
        <v>985</v>
      </c>
      <c r="T36" s="282" t="s">
        <v>1002</v>
      </c>
    </row>
    <row r="37" spans="2:29" ht="18" customHeight="1" x14ac:dyDescent="0.35">
      <c r="B37" s="90" t="s">
        <v>47</v>
      </c>
      <c r="C37" s="91" t="str">
        <f>VLOOKUP(B37,'Values Compact'!A142:C143,2,0)</f>
        <v>DCA6830</v>
      </c>
      <c r="D37" s="165">
        <f>VLOOKUP(C37,'Values Compact'!B142:G143,2,0)</f>
        <v>36</v>
      </c>
      <c r="E37" s="165"/>
      <c r="N37" s="93" t="s">
        <v>986</v>
      </c>
    </row>
    <row r="38" spans="2:29" ht="18" customHeight="1" x14ac:dyDescent="0.35">
      <c r="B38" s="335" t="s">
        <v>965</v>
      </c>
      <c r="C38" s="337">
        <f>ROUNDUP(D9+D27+D33+D37+D31+D35,0)</f>
        <v>678</v>
      </c>
      <c r="F38" s="334"/>
      <c r="N38" s="92"/>
    </row>
    <row r="39" spans="2:29" ht="18" customHeight="1" thickBot="1" x14ac:dyDescent="0.4">
      <c r="B39" s="336"/>
      <c r="C39" s="338"/>
      <c r="F39" s="334"/>
      <c r="N39" s="92" t="s">
        <v>987</v>
      </c>
    </row>
    <row r="40" spans="2:29" ht="18" customHeight="1" x14ac:dyDescent="0.35">
      <c r="B40" s="344" t="s">
        <v>966</v>
      </c>
      <c r="C40" s="347">
        <f>ROUNDUP((E11*COS(E15))-((SIN(E15)*(D17-E31)))+E31+(F7*COS(E15))+(E19*SIN(E15))+G7,0)</f>
        <v>1058</v>
      </c>
      <c r="D40" s="304" t="s">
        <v>660</v>
      </c>
      <c r="N40" s="343" t="s">
        <v>1069</v>
      </c>
      <c r="O40" s="343"/>
      <c r="P40" s="343"/>
      <c r="Q40" s="343"/>
      <c r="R40" s="343"/>
      <c r="S40" s="343"/>
      <c r="T40" s="343"/>
      <c r="U40" s="343"/>
      <c r="V40" s="343"/>
      <c r="W40" s="343"/>
      <c r="X40" s="343"/>
      <c r="Y40" s="343"/>
      <c r="Z40" s="343"/>
    </row>
    <row r="41" spans="2:29" ht="18" customHeight="1" thickBot="1" x14ac:dyDescent="0.4">
      <c r="B41" s="336"/>
      <c r="C41" s="338"/>
      <c r="N41" s="343" t="s">
        <v>1070</v>
      </c>
      <c r="O41" s="343"/>
      <c r="P41" s="343"/>
      <c r="Q41" s="343"/>
      <c r="R41" s="343"/>
      <c r="S41" s="343"/>
      <c r="T41" s="343"/>
      <c r="U41" s="343"/>
      <c r="V41" s="343"/>
      <c r="W41" s="343"/>
      <c r="X41" s="343"/>
      <c r="Y41" s="343"/>
      <c r="Z41" s="343"/>
      <c r="AA41" s="343"/>
      <c r="AB41" s="343"/>
      <c r="AC41" s="343"/>
    </row>
    <row r="42" spans="2:29" ht="18" customHeight="1" x14ac:dyDescent="0.35">
      <c r="B42" s="344" t="s">
        <v>967</v>
      </c>
      <c r="C42" s="347">
        <f>ROUNDUP(D17+F21+D23-E65,0)</f>
        <v>875</v>
      </c>
    </row>
    <row r="43" spans="2:29" ht="18" customHeight="1" thickBot="1" x14ac:dyDescent="0.4">
      <c r="B43" s="336"/>
      <c r="C43" s="338"/>
    </row>
    <row r="44" spans="2:29" ht="18" customHeight="1" x14ac:dyDescent="0.35">
      <c r="B44" s="344" t="s">
        <v>1063</v>
      </c>
      <c r="C44" s="345">
        <f>ROUNDUP(F15,1)</f>
        <v>6.1999999999999993</v>
      </c>
      <c r="I44" s="97"/>
      <c r="J44" s="97"/>
    </row>
    <row r="45" spans="2:29" ht="18" customHeight="1" thickBot="1" x14ac:dyDescent="0.4">
      <c r="B45" s="336"/>
      <c r="C45" s="346"/>
      <c r="D45" s="98"/>
      <c r="E45" s="206" t="s">
        <v>247</v>
      </c>
      <c r="F45" s="93"/>
    </row>
    <row r="46" spans="2:29" ht="18" customHeight="1" x14ac:dyDescent="0.35">
      <c r="B46" s="344" t="s">
        <v>968</v>
      </c>
      <c r="C46" s="345">
        <f>ROUNDUP(C44+E21,1)</f>
        <v>92.2</v>
      </c>
      <c r="D46" s="98" t="s">
        <v>233</v>
      </c>
      <c r="E46" s="98">
        <f>D9</f>
        <v>467</v>
      </c>
      <c r="F46" s="93" t="s">
        <v>238</v>
      </c>
    </row>
    <row r="47" spans="2:29" ht="18" customHeight="1" thickBot="1" x14ac:dyDescent="0.4">
      <c r="B47" s="336"/>
      <c r="C47" s="346"/>
      <c r="D47" s="98" t="s">
        <v>243</v>
      </c>
      <c r="E47" s="98">
        <f>D27</f>
        <v>0</v>
      </c>
      <c r="F47" s="93" t="s">
        <v>239</v>
      </c>
    </row>
    <row r="48" spans="2:29" ht="18" customHeight="1" x14ac:dyDescent="0.35">
      <c r="C48" s="149"/>
      <c r="D48" s="98" t="s">
        <v>234</v>
      </c>
      <c r="E48" s="98">
        <f>D33</f>
        <v>53</v>
      </c>
      <c r="F48" s="93" t="s">
        <v>240</v>
      </c>
    </row>
    <row r="49" spans="4:16" ht="18" customHeight="1" x14ac:dyDescent="0.35">
      <c r="D49" s="98" t="s">
        <v>235</v>
      </c>
      <c r="E49" s="99">
        <f>D37</f>
        <v>36</v>
      </c>
      <c r="F49" s="93" t="s">
        <v>242</v>
      </c>
    </row>
    <row r="50" spans="4:16" ht="18" customHeight="1" x14ac:dyDescent="0.35">
      <c r="D50" s="98" t="s">
        <v>236</v>
      </c>
      <c r="E50" s="99">
        <f>D31</f>
        <v>31.918574720000002</v>
      </c>
      <c r="F50" s="93" t="s">
        <v>241</v>
      </c>
      <c r="N50" s="93"/>
    </row>
    <row r="51" spans="4:16" ht="18" customHeight="1" x14ac:dyDescent="0.35">
      <c r="D51" s="98" t="s">
        <v>237</v>
      </c>
      <c r="E51" s="98">
        <f>D35</f>
        <v>90</v>
      </c>
      <c r="F51" s="93" t="s">
        <v>245</v>
      </c>
    </row>
    <row r="52" spans="4:16" ht="18" customHeight="1" x14ac:dyDescent="0.35">
      <c r="D52" s="98" t="s">
        <v>244</v>
      </c>
      <c r="E52" s="98">
        <f>E33</f>
        <v>0</v>
      </c>
      <c r="F52" s="93" t="s">
        <v>246</v>
      </c>
    </row>
    <row r="53" spans="4:16" ht="18" customHeight="1" x14ac:dyDescent="0.35">
      <c r="D53" s="179" t="s">
        <v>507</v>
      </c>
      <c r="E53" s="179">
        <f>F15</f>
        <v>6.1754310100969088</v>
      </c>
      <c r="F53" s="180" t="s">
        <v>508</v>
      </c>
    </row>
    <row r="54" spans="4:16" ht="18" customHeight="1" x14ac:dyDescent="0.35">
      <c r="D54" s="87" t="s">
        <v>399</v>
      </c>
      <c r="E54" s="87">
        <f>D11</f>
        <v>483</v>
      </c>
      <c r="F54" s="86" t="s">
        <v>485</v>
      </c>
      <c r="H54" s="100"/>
      <c r="I54" s="100"/>
      <c r="J54" s="100"/>
      <c r="K54" s="100"/>
      <c r="L54" s="100"/>
      <c r="M54" s="100"/>
      <c r="N54" s="100"/>
      <c r="O54" s="100"/>
      <c r="P54" s="101"/>
    </row>
    <row r="55" spans="4:16" ht="18" customHeight="1" x14ac:dyDescent="0.35">
      <c r="D55" s="87" t="s">
        <v>400</v>
      </c>
      <c r="E55" s="87">
        <f>+E11</f>
        <v>439.5</v>
      </c>
      <c r="F55" s="86" t="s">
        <v>505</v>
      </c>
      <c r="H55" s="100"/>
      <c r="I55" s="100"/>
      <c r="J55" s="100"/>
      <c r="K55" s="100"/>
      <c r="L55" s="100"/>
      <c r="M55" s="100"/>
      <c r="N55" s="100"/>
      <c r="O55" s="100"/>
      <c r="P55" s="100"/>
    </row>
    <row r="56" spans="4:16" ht="18" customHeight="1" x14ac:dyDescent="0.35">
      <c r="D56" s="87" t="s">
        <v>402</v>
      </c>
      <c r="E56" s="87">
        <f>D21</f>
        <v>20</v>
      </c>
      <c r="F56" s="86" t="s">
        <v>639</v>
      </c>
      <c r="H56" s="100"/>
      <c r="I56" s="100"/>
      <c r="J56" s="100"/>
      <c r="K56" s="100"/>
      <c r="L56" s="100"/>
      <c r="M56" s="100"/>
      <c r="N56" s="100"/>
      <c r="O56" s="100"/>
      <c r="P56" s="100"/>
    </row>
    <row r="57" spans="4:16" ht="18" customHeight="1" x14ac:dyDescent="0.35">
      <c r="D57" s="87" t="s">
        <v>405</v>
      </c>
      <c r="E57" s="87">
        <f>D27</f>
        <v>0</v>
      </c>
      <c r="F57" s="86" t="s">
        <v>629</v>
      </c>
      <c r="H57" s="100"/>
      <c r="I57" s="100"/>
      <c r="J57" s="100"/>
      <c r="K57" s="100"/>
      <c r="L57" s="100"/>
      <c r="M57" s="100"/>
      <c r="N57" s="100"/>
      <c r="O57" s="100"/>
      <c r="P57" s="100"/>
    </row>
    <row r="58" spans="4:16" ht="18" customHeight="1" x14ac:dyDescent="0.35">
      <c r="D58" s="87" t="s">
        <v>406</v>
      </c>
      <c r="E58" s="87">
        <f>D29</f>
        <v>62.5</v>
      </c>
      <c r="F58" s="86" t="s">
        <v>506</v>
      </c>
      <c r="H58" s="100"/>
      <c r="I58" s="100"/>
      <c r="J58" s="100"/>
      <c r="K58" s="100"/>
      <c r="L58" s="100"/>
      <c r="M58" s="100"/>
      <c r="N58" s="100"/>
      <c r="O58" s="100"/>
      <c r="P58" s="100"/>
    </row>
    <row r="59" spans="4:16" ht="18" customHeight="1" x14ac:dyDescent="0.35">
      <c r="D59" s="87" t="s">
        <v>447</v>
      </c>
      <c r="E59" s="87">
        <f>E7</f>
        <v>3.44</v>
      </c>
      <c r="F59" s="86" t="s">
        <v>644</v>
      </c>
    </row>
    <row r="60" spans="4:16" ht="18" customHeight="1" x14ac:dyDescent="0.35">
      <c r="D60" s="87" t="s">
        <v>428</v>
      </c>
      <c r="E60" s="87">
        <f>D7</f>
        <v>149.09</v>
      </c>
      <c r="F60" s="86" t="s">
        <v>645</v>
      </c>
    </row>
    <row r="61" spans="4:16" ht="18" customHeight="1" x14ac:dyDescent="0.35">
      <c r="D61" s="87" t="s">
        <v>648</v>
      </c>
      <c r="F61" s="86" t="s">
        <v>650</v>
      </c>
    </row>
    <row r="62" spans="4:16" ht="18" customHeight="1" x14ac:dyDescent="0.35">
      <c r="D62" s="87" t="s">
        <v>649</v>
      </c>
      <c r="F62" s="86" t="s">
        <v>651</v>
      </c>
    </row>
    <row r="63" spans="4:16" ht="18" customHeight="1" x14ac:dyDescent="0.35">
      <c r="D63" s="87" t="s">
        <v>429</v>
      </c>
      <c r="E63" s="87">
        <f>E19</f>
        <v>418.63444184634403</v>
      </c>
      <c r="F63" s="86" t="s">
        <v>657</v>
      </c>
    </row>
    <row r="64" spans="4:16" ht="18" customHeight="1" x14ac:dyDescent="0.35">
      <c r="D64" s="87" t="s">
        <v>430</v>
      </c>
      <c r="E64" s="87">
        <f>F7</f>
        <v>228.21</v>
      </c>
      <c r="F64" s="86" t="s">
        <v>659</v>
      </c>
    </row>
    <row r="65" spans="2:6" ht="18" customHeight="1" x14ac:dyDescent="0.35">
      <c r="D65" s="87" t="s">
        <v>876</v>
      </c>
      <c r="E65" s="87">
        <v>5</v>
      </c>
      <c r="F65" s="86" t="s">
        <v>885</v>
      </c>
    </row>
    <row r="69" spans="2:6" ht="18" hidden="1" customHeight="1" x14ac:dyDescent="0.35">
      <c r="B69" s="86" t="s">
        <v>783</v>
      </c>
    </row>
    <row r="70" spans="2:6" ht="18" hidden="1" customHeight="1" x14ac:dyDescent="0.35">
      <c r="B70" s="86" t="s">
        <v>784</v>
      </c>
    </row>
  </sheetData>
  <sheetProtection algorithmName="SHA-512" hashValue="6Nxc3AKNENnLDRfCSPnvNhbVT9yF3ZnfA1zJAZhaEdjz7EDEC7jKvNMCMHuIihPz4TwtiPDxJ4L5YqDRJ/hHdg==" saltValue="+6PGObSWQaCV4074avGm3g==" spinCount="100000" sheet="1" objects="1" scenarios="1"/>
  <protectedRanges>
    <protectedRange sqref="B7 B9 B11 B13 B15 B17 B19 B21 B23 B25 B27 B29 B31 B33 B35 B37" name="Plage1"/>
  </protectedRanges>
  <dataConsolidate/>
  <mergeCells count="15">
    <mergeCell ref="N41:AC41"/>
    <mergeCell ref="N40:Z40"/>
    <mergeCell ref="B46:B47"/>
    <mergeCell ref="C46:C47"/>
    <mergeCell ref="B40:B41"/>
    <mergeCell ref="C40:C41"/>
    <mergeCell ref="B42:B43"/>
    <mergeCell ref="C42:C43"/>
    <mergeCell ref="B44:B45"/>
    <mergeCell ref="C44:C45"/>
    <mergeCell ref="F38:F39"/>
    <mergeCell ref="B38:B39"/>
    <mergeCell ref="C38:C39"/>
    <mergeCell ref="C4:C5"/>
    <mergeCell ref="B4:B5"/>
  </mergeCells>
  <conditionalFormatting sqref="C48">
    <cfRule type="expression" dxfId="5" priority="1">
      <formula>$E37="x"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 xr:uid="{EA5788C8-5111-461A-8CAC-512D9653A496}">
          <x14:formula1>
            <xm:f>'Values Compact'!$A$10:$A$21</xm:f>
          </x14:formula1>
          <xm:sqref>B9</xm:sqref>
        </x14:dataValidation>
        <x14:dataValidation type="list" allowBlank="1" showInputMessage="1" showErrorMessage="1" xr:uid="{47A11BE5-CAC7-46C8-809C-1B0445EDDB27}">
          <x14:formula1>
            <xm:f>'Values Compact'!$A$134:$A$135</xm:f>
          </x14:formula1>
          <xm:sqref>B27</xm:sqref>
        </x14:dataValidation>
        <x14:dataValidation type="list" allowBlank="1" showInputMessage="1" showErrorMessage="1" xr:uid="{344517D3-4F14-4237-8B8E-9F0618C40BC0}">
          <x14:formula1>
            <xm:f>'Values Compact'!$A$137:$A$140</xm:f>
          </x14:formula1>
          <xm:sqref>B33</xm:sqref>
        </x14:dataValidation>
        <x14:dataValidation type="list" allowBlank="1" showInputMessage="1" showErrorMessage="1" xr:uid="{EBFC811D-14DA-494F-9EFF-24A99D0B4614}">
          <x14:formula1>
            <xm:f>'Values Compact'!$A$142:$A$143</xm:f>
          </x14:formula1>
          <xm:sqref>B37</xm:sqref>
        </x14:dataValidation>
        <x14:dataValidation type="list" allowBlank="1" showInputMessage="1" showErrorMessage="1" xr:uid="{294F5241-9303-477E-8B0B-4C9A3960692A}">
          <x14:formula1>
            <xm:f>'Values Compact'!$A$152:$A$155</xm:f>
          </x14:formula1>
          <xm:sqref>B31</xm:sqref>
        </x14:dataValidation>
        <x14:dataValidation type="list" allowBlank="1" showInputMessage="1" showErrorMessage="1" xr:uid="{1C874402-BA40-41A5-88D6-6F47A799B162}">
          <x14:formula1>
            <xm:f>'Values Compact'!$A$157:$A$166</xm:f>
          </x14:formula1>
          <xm:sqref>B35</xm:sqref>
        </x14:dataValidation>
        <x14:dataValidation type="list" allowBlank="1" showInputMessage="1" showErrorMessage="1" xr:uid="{5B3D1F52-D76B-4301-8DA4-5F8EB83819AF}">
          <x14:formula1>
            <xm:f>'Values Compact'!$A$145:$A$150</xm:f>
          </x14:formula1>
          <xm:sqref>B29</xm:sqref>
        </x14:dataValidation>
        <x14:dataValidation type="list" allowBlank="1" showInputMessage="1" showErrorMessage="1" xr:uid="{54142676-82C6-489C-BC50-F448BAEE16DF}">
          <x14:formula1>
            <xm:f>'Values Compact'!$A$23:$A$32</xm:f>
          </x14:formula1>
          <xm:sqref>B11</xm:sqref>
        </x14:dataValidation>
        <x14:dataValidation type="list" allowBlank="1" showInputMessage="1" showErrorMessage="1" xr:uid="{8157ACC2-6245-4613-B704-AF942E652A40}">
          <x14:formula1>
            <xm:f>'Values Compact'!$A$34:$A$48</xm:f>
          </x14:formula1>
          <xm:sqref>B13</xm:sqref>
        </x14:dataValidation>
        <x14:dataValidation type="list" allowBlank="1" showInputMessage="1" showErrorMessage="1" xr:uid="{6CBA2908-83A8-4EAF-AD5A-758C1AC88295}">
          <x14:formula1>
            <xm:f>'Values Compact'!$A$50:$A$65</xm:f>
          </x14:formula1>
          <xm:sqref>B15</xm:sqref>
        </x14:dataValidation>
        <x14:dataValidation type="list" allowBlank="1" showInputMessage="1" showErrorMessage="1" xr:uid="{DE9E636B-FB9B-45B7-A94F-021E06AAF39D}">
          <x14:formula1>
            <xm:f>'Values Compact'!$A$67:$A$81</xm:f>
          </x14:formula1>
          <xm:sqref>B17</xm:sqref>
        </x14:dataValidation>
        <x14:dataValidation type="list" allowBlank="1" showInputMessage="1" showErrorMessage="1" xr:uid="{BE92E861-FCBD-4105-902F-28F78C1B9EEC}">
          <x14:formula1>
            <xm:f>'Values Compact'!$A$116:$A$123</xm:f>
          </x14:formula1>
          <xm:sqref>B21</xm:sqref>
        </x14:dataValidation>
        <x14:dataValidation type="list" allowBlank="1" showInputMessage="1" showErrorMessage="1" xr:uid="{FBCFD07C-D57A-4555-979D-ABFD04B8720F}">
          <x14:formula1>
            <xm:f>'Values Compact'!$A$83:$A$114</xm:f>
          </x14:formula1>
          <xm:sqref>B19</xm:sqref>
        </x14:dataValidation>
        <x14:dataValidation type="list" allowBlank="1" showInputMessage="1" showErrorMessage="1" xr:uid="{D75B9B66-40E2-4FCA-BB06-1433747014C4}">
          <x14:formula1>
            <xm:f>'Values Compact'!$A$5:$A$8</xm:f>
          </x14:formula1>
          <xm:sqref>B7</xm:sqref>
        </x14:dataValidation>
        <x14:dataValidation type="list" allowBlank="1" showInputMessage="1" showErrorMessage="1" xr:uid="{4F299C13-0857-4024-ADB2-794372FE6714}">
          <x14:formula1>
            <xm:f>'Values Compact'!$A$125:$A$128</xm:f>
          </x14:formula1>
          <xm:sqref>B23</xm:sqref>
        </x14:dataValidation>
        <x14:dataValidation type="list" allowBlank="1" showInputMessage="1" showErrorMessage="1" xr:uid="{F7A7C6D8-B606-4C19-99E0-566F62C3811D}">
          <x14:formula1>
            <xm:f>'Values Compact'!$A$130:$A$132</xm:f>
          </x14:formula1>
          <xm:sqref>B25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AEF42-D694-40C5-B29B-6BBFB064A102}">
  <dimension ref="A2:AE206"/>
  <sheetViews>
    <sheetView showGridLines="0" zoomScale="85" zoomScaleNormal="85" workbookViewId="0">
      <selection activeCell="B6" sqref="B6"/>
    </sheetView>
  </sheetViews>
  <sheetFormatPr defaultColWidth="8.90625" defaultRowHeight="14.5" x14ac:dyDescent="0.35"/>
  <cols>
    <col min="1" max="1" width="25.54296875" customWidth="1"/>
    <col min="2" max="2" width="27.81640625" customWidth="1"/>
  </cols>
  <sheetData>
    <row r="2" spans="1:21" ht="15" thickBot="1" x14ac:dyDescent="0.4">
      <c r="N2" s="21"/>
    </row>
    <row r="3" spans="1:21" x14ac:dyDescent="0.35">
      <c r="A3" s="377" t="s">
        <v>25</v>
      </c>
      <c r="B3" s="378"/>
      <c r="C3" s="379" t="s">
        <v>50</v>
      </c>
      <c r="D3" s="379"/>
      <c r="E3" s="379"/>
      <c r="F3" s="379"/>
      <c r="G3" s="380"/>
      <c r="N3" s="22"/>
    </row>
    <row r="4" spans="1:21" x14ac:dyDescent="0.35">
      <c r="A4" s="348" t="s">
        <v>271</v>
      </c>
      <c r="B4" s="349"/>
      <c r="C4" s="199" t="s">
        <v>438</v>
      </c>
      <c r="D4" s="199" t="s">
        <v>449</v>
      </c>
      <c r="E4" s="199" t="s">
        <v>1072</v>
      </c>
      <c r="F4" s="199"/>
      <c r="G4" s="70"/>
      <c r="N4" s="22"/>
    </row>
    <row r="5" spans="1:21" x14ac:dyDescent="0.35">
      <c r="A5" s="198" t="s">
        <v>1073</v>
      </c>
      <c r="B5" s="305" t="s">
        <v>1075</v>
      </c>
      <c r="C5" s="199">
        <f>X83</f>
        <v>149.09</v>
      </c>
      <c r="D5" s="36">
        <f>X118</f>
        <v>3.44</v>
      </c>
      <c r="E5" s="199">
        <v>59</v>
      </c>
      <c r="F5" s="199"/>
      <c r="G5" s="70"/>
      <c r="N5" s="22"/>
    </row>
    <row r="6" spans="1:21" x14ac:dyDescent="0.35">
      <c r="A6" s="198" t="s">
        <v>1074</v>
      </c>
      <c r="B6" s="305" t="s">
        <v>1076</v>
      </c>
      <c r="C6" s="199">
        <f>O83</f>
        <v>135.08000000000001</v>
      </c>
      <c r="D6" s="36">
        <f>O118</f>
        <v>1.74</v>
      </c>
      <c r="E6" s="199">
        <v>59</v>
      </c>
      <c r="F6" s="199"/>
      <c r="G6" s="70"/>
      <c r="N6" s="22"/>
    </row>
    <row r="7" spans="1:21" x14ac:dyDescent="0.35">
      <c r="A7" s="198" t="s">
        <v>1077</v>
      </c>
      <c r="B7" s="305" t="s">
        <v>1079</v>
      </c>
      <c r="C7" s="33">
        <v>149.09</v>
      </c>
      <c r="D7" s="306">
        <v>3.44</v>
      </c>
      <c r="E7" s="199">
        <v>0</v>
      </c>
      <c r="F7" s="199"/>
      <c r="G7" s="70"/>
      <c r="N7" s="22"/>
    </row>
    <row r="8" spans="1:21" x14ac:dyDescent="0.35">
      <c r="A8" s="198" t="s">
        <v>1078</v>
      </c>
      <c r="B8" s="305" t="s">
        <v>1080</v>
      </c>
      <c r="C8" s="33">
        <v>135.08000000000001</v>
      </c>
      <c r="D8" s="306">
        <v>1.74</v>
      </c>
      <c r="E8" s="199">
        <v>0</v>
      </c>
      <c r="F8" s="199"/>
      <c r="G8" s="70"/>
      <c r="N8" s="22"/>
    </row>
    <row r="9" spans="1:21" ht="15" thickBot="1" x14ac:dyDescent="0.4">
      <c r="A9" s="350" t="s">
        <v>24</v>
      </c>
      <c r="B9" s="368"/>
      <c r="C9" s="84" t="s">
        <v>58</v>
      </c>
      <c r="D9" s="84"/>
      <c r="E9" s="84"/>
      <c r="F9" s="84"/>
      <c r="G9" s="7"/>
      <c r="N9" s="22"/>
    </row>
    <row r="10" spans="1:21" x14ac:dyDescent="0.35">
      <c r="A10" s="78" t="s">
        <v>0</v>
      </c>
      <c r="B10" s="13" t="s">
        <v>8</v>
      </c>
      <c r="C10" s="4">
        <f>250+$C$169</f>
        <v>287</v>
      </c>
      <c r="D10" s="4"/>
      <c r="E10" s="4"/>
      <c r="F10" s="4"/>
      <c r="G10" s="365" t="s">
        <v>51</v>
      </c>
      <c r="K10" s="356" t="s">
        <v>142</v>
      </c>
      <c r="L10" s="357"/>
      <c r="M10" s="357"/>
      <c r="N10" s="357"/>
      <c r="O10" s="357"/>
      <c r="P10" s="357"/>
      <c r="Q10" s="358"/>
    </row>
    <row r="11" spans="1:21" x14ac:dyDescent="0.35">
      <c r="A11" s="78" t="s">
        <v>1</v>
      </c>
      <c r="B11" s="13" t="s">
        <v>9</v>
      </c>
      <c r="C11" s="4">
        <f>270+$C$169</f>
        <v>307</v>
      </c>
      <c r="D11" s="4"/>
      <c r="E11" s="4"/>
      <c r="F11" s="4"/>
      <c r="G11" s="365"/>
      <c r="K11" s="359"/>
      <c r="L11" s="360"/>
      <c r="M11" s="360"/>
      <c r="N11" s="360"/>
      <c r="O11" s="360"/>
      <c r="P11" s="360"/>
      <c r="Q11" s="361"/>
    </row>
    <row r="12" spans="1:21" ht="15" thickBot="1" x14ac:dyDescent="0.4">
      <c r="A12" s="78" t="s">
        <v>2</v>
      </c>
      <c r="B12" s="13" t="s">
        <v>10</v>
      </c>
      <c r="C12" s="4">
        <f>290+$C$169</f>
        <v>327</v>
      </c>
      <c r="D12" s="4"/>
      <c r="E12" s="4"/>
      <c r="F12" s="4"/>
      <c r="G12" s="365"/>
      <c r="K12" s="362"/>
      <c r="L12" s="363"/>
      <c r="M12" s="363"/>
      <c r="N12" s="363"/>
      <c r="O12" s="363"/>
      <c r="P12" s="363"/>
      <c r="Q12" s="364"/>
    </row>
    <row r="13" spans="1:21" ht="14.4" customHeight="1" x14ac:dyDescent="0.35">
      <c r="A13" s="78" t="s">
        <v>3</v>
      </c>
      <c r="B13" s="13" t="s">
        <v>11</v>
      </c>
      <c r="C13" s="4">
        <f>310+$C$169</f>
        <v>347</v>
      </c>
      <c r="D13" s="4"/>
      <c r="E13" s="4"/>
      <c r="F13" s="4"/>
      <c r="G13" s="365"/>
      <c r="J13" s="18"/>
      <c r="K13" s="58"/>
      <c r="L13" s="58"/>
      <c r="M13" s="58"/>
      <c r="N13" s="58"/>
      <c r="O13" s="59"/>
      <c r="P13" s="59"/>
      <c r="Q13" s="58"/>
    </row>
    <row r="14" spans="1:21" ht="14.4" customHeight="1" x14ac:dyDescent="0.35">
      <c r="A14" s="78" t="s">
        <v>4</v>
      </c>
      <c r="B14" s="13" t="s">
        <v>12</v>
      </c>
      <c r="C14" s="4">
        <f>330+$C$169</f>
        <v>367</v>
      </c>
      <c r="D14" s="4"/>
      <c r="E14" s="4"/>
      <c r="F14" s="4"/>
      <c r="G14" s="365"/>
      <c r="K14" s="58"/>
      <c r="L14" s="58"/>
      <c r="M14" s="58"/>
      <c r="N14" s="58"/>
      <c r="O14" s="59"/>
      <c r="P14" s="59"/>
      <c r="Q14" s="58"/>
    </row>
    <row r="15" spans="1:21" ht="14.4" customHeight="1" x14ac:dyDescent="0.35">
      <c r="A15" s="78" t="s">
        <v>5</v>
      </c>
      <c r="B15" s="13" t="s">
        <v>13</v>
      </c>
      <c r="C15" s="4">
        <f>350+$C$169</f>
        <v>387</v>
      </c>
      <c r="D15" s="4"/>
      <c r="E15" s="4"/>
      <c r="F15" s="4"/>
      <c r="G15" s="365"/>
      <c r="K15" s="58"/>
      <c r="L15" s="58"/>
      <c r="M15" s="58"/>
      <c r="N15" s="58"/>
      <c r="O15" s="59"/>
      <c r="P15" s="59"/>
      <c r="Q15" s="58"/>
    </row>
    <row r="16" spans="1:21" x14ac:dyDescent="0.35">
      <c r="A16" s="78" t="s">
        <v>6</v>
      </c>
      <c r="B16" s="13" t="s">
        <v>14</v>
      </c>
      <c r="C16" s="8">
        <f>370+$C$169</f>
        <v>407</v>
      </c>
      <c r="D16" s="8"/>
      <c r="E16" s="8"/>
      <c r="F16" s="8"/>
      <c r="G16" s="365"/>
      <c r="K16" s="8"/>
      <c r="L16" s="8"/>
      <c r="M16" s="8"/>
      <c r="N16" s="8"/>
      <c r="O16" s="8"/>
      <c r="P16" s="8"/>
      <c r="Q16" s="8"/>
      <c r="U16" s="20"/>
    </row>
    <row r="17" spans="1:21" x14ac:dyDescent="0.35">
      <c r="A17" s="78" t="s">
        <v>16</v>
      </c>
      <c r="B17" s="13" t="s">
        <v>15</v>
      </c>
      <c r="C17" s="8">
        <f>390+$C$169</f>
        <v>427</v>
      </c>
      <c r="D17" s="8"/>
      <c r="E17" s="8"/>
      <c r="F17" s="8"/>
      <c r="G17" s="365"/>
      <c r="K17" s="60"/>
      <c r="L17" s="8"/>
      <c r="M17" s="8"/>
      <c r="N17" s="8"/>
      <c r="O17" s="8"/>
      <c r="P17" s="8"/>
      <c r="Q17" s="8"/>
    </row>
    <row r="18" spans="1:21" x14ac:dyDescent="0.35">
      <c r="A18" s="78" t="s">
        <v>17</v>
      </c>
      <c r="B18" s="13" t="s">
        <v>18</v>
      </c>
      <c r="C18" s="8">
        <f>410+$C$169</f>
        <v>447</v>
      </c>
      <c r="D18" s="8"/>
      <c r="E18" s="8"/>
      <c r="F18" s="8"/>
      <c r="G18" s="365"/>
    </row>
    <row r="19" spans="1:21" x14ac:dyDescent="0.35">
      <c r="A19" s="78" t="s">
        <v>19</v>
      </c>
      <c r="B19" s="13" t="s">
        <v>20</v>
      </c>
      <c r="C19" s="8">
        <f>430+$C$169</f>
        <v>467</v>
      </c>
      <c r="D19" s="8"/>
      <c r="E19" s="8"/>
      <c r="F19" s="8"/>
      <c r="G19" s="365"/>
    </row>
    <row r="20" spans="1:21" x14ac:dyDescent="0.35">
      <c r="A20" s="78" t="s">
        <v>21</v>
      </c>
      <c r="B20" s="13" t="s">
        <v>22</v>
      </c>
      <c r="C20" s="8">
        <f>450+$C$169</f>
        <v>487</v>
      </c>
      <c r="D20" s="8"/>
      <c r="E20" s="8"/>
      <c r="F20" s="8"/>
      <c r="G20" s="365"/>
    </row>
    <row r="21" spans="1:21" x14ac:dyDescent="0.35">
      <c r="A21" s="80" t="s">
        <v>7</v>
      </c>
      <c r="B21" s="15" t="s">
        <v>23</v>
      </c>
      <c r="C21" s="10">
        <f>470+$C$169</f>
        <v>507</v>
      </c>
      <c r="D21" s="10"/>
      <c r="E21" s="10"/>
      <c r="F21" s="10"/>
      <c r="G21" s="366"/>
    </row>
    <row r="22" spans="1:21" x14ac:dyDescent="0.35">
      <c r="A22" s="367" t="s">
        <v>276</v>
      </c>
      <c r="B22" s="368"/>
      <c r="C22" s="168" t="s">
        <v>418</v>
      </c>
      <c r="D22" s="168" t="s">
        <v>403</v>
      </c>
      <c r="E22" s="168" t="s">
        <v>646</v>
      </c>
      <c r="F22" s="168" t="s">
        <v>647</v>
      </c>
      <c r="G22" s="162"/>
      <c r="I22" s="207"/>
    </row>
    <row r="23" spans="1:21" x14ac:dyDescent="0.35">
      <c r="A23" s="12" t="s">
        <v>493</v>
      </c>
      <c r="B23" s="13" t="s">
        <v>495</v>
      </c>
      <c r="C23">
        <v>303</v>
      </c>
      <c r="D23" s="8">
        <f>108-60</f>
        <v>48</v>
      </c>
      <c r="E23" s="8">
        <f>Z82+AB82+AD82</f>
        <v>55.129999999999995</v>
      </c>
      <c r="F23" s="8">
        <f>Q82+S82+U82</f>
        <v>58.299999999999983</v>
      </c>
      <c r="G23" s="145"/>
    </row>
    <row r="24" spans="1:21" x14ac:dyDescent="0.35">
      <c r="A24" s="12" t="s">
        <v>277</v>
      </c>
      <c r="B24" s="13" t="s">
        <v>496</v>
      </c>
      <c r="C24">
        <v>323</v>
      </c>
      <c r="D24" s="8">
        <f>108-40</f>
        <v>68</v>
      </c>
      <c r="E24" s="8">
        <f>Z82+AB82</f>
        <v>37.370000000000005</v>
      </c>
      <c r="F24" s="8">
        <f>Q82+S82</f>
        <v>39.20999999999998</v>
      </c>
      <c r="G24" s="145"/>
      <c r="U24" s="20"/>
    </row>
    <row r="25" spans="1:21" x14ac:dyDescent="0.35">
      <c r="A25" s="12" t="s">
        <v>278</v>
      </c>
      <c r="B25" s="13" t="s">
        <v>497</v>
      </c>
      <c r="C25">
        <v>343</v>
      </c>
      <c r="D25" s="8">
        <f>108-20</f>
        <v>88</v>
      </c>
      <c r="E25" s="8">
        <f>Z82</f>
        <v>19</v>
      </c>
      <c r="F25" s="8">
        <f>Q82</f>
        <v>19.769999999999982</v>
      </c>
      <c r="G25" s="145"/>
    </row>
    <row r="26" spans="1:21" x14ac:dyDescent="0.35">
      <c r="A26" s="12" t="s">
        <v>279</v>
      </c>
      <c r="B26" s="13" t="s">
        <v>498</v>
      </c>
      <c r="C26">
        <v>363</v>
      </c>
      <c r="D26" s="8">
        <v>108</v>
      </c>
      <c r="E26" s="8">
        <v>0</v>
      </c>
      <c r="F26" s="8">
        <v>0</v>
      </c>
      <c r="G26" s="145"/>
    </row>
    <row r="27" spans="1:21" x14ac:dyDescent="0.35">
      <c r="A27" s="12" t="s">
        <v>280</v>
      </c>
      <c r="B27" s="13" t="s">
        <v>499</v>
      </c>
      <c r="C27">
        <v>383</v>
      </c>
      <c r="D27" s="8">
        <v>108</v>
      </c>
      <c r="E27" s="8">
        <v>0</v>
      </c>
      <c r="F27" s="8">
        <v>0</v>
      </c>
      <c r="G27" s="145"/>
    </row>
    <row r="28" spans="1:21" x14ac:dyDescent="0.35">
      <c r="A28" s="12" t="s">
        <v>281</v>
      </c>
      <c r="B28" s="13" t="s">
        <v>500</v>
      </c>
      <c r="C28">
        <v>403</v>
      </c>
      <c r="D28" s="8">
        <v>108</v>
      </c>
      <c r="E28" s="8">
        <v>0</v>
      </c>
      <c r="F28" s="8">
        <v>0</v>
      </c>
      <c r="G28" s="145"/>
    </row>
    <row r="29" spans="1:21" x14ac:dyDescent="0.35">
      <c r="A29" s="12" t="s">
        <v>282</v>
      </c>
      <c r="B29" s="13" t="s">
        <v>501</v>
      </c>
      <c r="C29">
        <v>423</v>
      </c>
      <c r="D29" s="8">
        <v>108</v>
      </c>
      <c r="E29" s="8">
        <v>0</v>
      </c>
      <c r="F29" s="8">
        <v>0</v>
      </c>
      <c r="G29" s="145"/>
    </row>
    <row r="30" spans="1:21" x14ac:dyDescent="0.35">
      <c r="A30" s="12" t="s">
        <v>283</v>
      </c>
      <c r="B30" s="13" t="s">
        <v>502</v>
      </c>
      <c r="C30">
        <v>443</v>
      </c>
      <c r="D30" s="8">
        <v>108</v>
      </c>
      <c r="E30" s="8">
        <v>0</v>
      </c>
      <c r="F30" s="8">
        <v>0</v>
      </c>
      <c r="G30" s="145"/>
    </row>
    <row r="31" spans="1:21" x14ac:dyDescent="0.35">
      <c r="A31" s="12" t="s">
        <v>284</v>
      </c>
      <c r="B31" s="13" t="s">
        <v>503</v>
      </c>
      <c r="C31">
        <v>463</v>
      </c>
      <c r="D31" s="8">
        <v>108</v>
      </c>
      <c r="E31" s="8">
        <v>0</v>
      </c>
      <c r="F31" s="8">
        <v>0</v>
      </c>
      <c r="G31" s="145"/>
    </row>
    <row r="32" spans="1:21" x14ac:dyDescent="0.35">
      <c r="A32" s="12" t="s">
        <v>494</v>
      </c>
      <c r="B32" s="13" t="s">
        <v>504</v>
      </c>
      <c r="C32">
        <v>483</v>
      </c>
      <c r="D32" s="8">
        <v>108</v>
      </c>
      <c r="E32" s="8">
        <v>0</v>
      </c>
      <c r="F32" s="8">
        <v>0</v>
      </c>
      <c r="G32" s="145"/>
    </row>
    <row r="33" spans="1:7" x14ac:dyDescent="0.35">
      <c r="A33" s="367" t="s">
        <v>477</v>
      </c>
      <c r="B33" s="368"/>
      <c r="C33" s="169" t="s">
        <v>474</v>
      </c>
      <c r="D33" s="57"/>
      <c r="E33" s="57"/>
      <c r="F33" s="57"/>
      <c r="G33" s="162"/>
    </row>
    <row r="34" spans="1:7" x14ac:dyDescent="0.35">
      <c r="A34" s="29" t="s">
        <v>294</v>
      </c>
      <c r="B34" s="29" t="s">
        <v>509</v>
      </c>
      <c r="C34" s="55">
        <v>300</v>
      </c>
      <c r="D34" s="8"/>
      <c r="E34" s="8"/>
      <c r="F34" s="8"/>
      <c r="G34" s="145"/>
    </row>
    <row r="35" spans="1:7" x14ac:dyDescent="0.35">
      <c r="A35" s="29" t="s">
        <v>295</v>
      </c>
      <c r="B35" s="29" t="s">
        <v>510</v>
      </c>
      <c r="C35" s="8">
        <v>315</v>
      </c>
      <c r="D35" s="8"/>
      <c r="E35" s="8"/>
      <c r="F35" s="8"/>
      <c r="G35" s="145"/>
    </row>
    <row r="36" spans="1:7" x14ac:dyDescent="0.35">
      <c r="A36" s="29" t="s">
        <v>296</v>
      </c>
      <c r="B36" s="29" t="s">
        <v>511</v>
      </c>
      <c r="C36" s="8">
        <v>330</v>
      </c>
      <c r="D36" s="8"/>
      <c r="E36" s="8"/>
      <c r="F36" s="8"/>
      <c r="G36" s="145"/>
    </row>
    <row r="37" spans="1:7" x14ac:dyDescent="0.35">
      <c r="A37" s="29" t="s">
        <v>297</v>
      </c>
      <c r="B37" s="29" t="s">
        <v>512</v>
      </c>
      <c r="C37" s="8">
        <v>345</v>
      </c>
      <c r="D37" s="8"/>
      <c r="E37" s="8"/>
      <c r="F37" s="8"/>
      <c r="G37" s="145"/>
    </row>
    <row r="38" spans="1:7" x14ac:dyDescent="0.35">
      <c r="A38" s="29" t="s">
        <v>298</v>
      </c>
      <c r="B38" s="29" t="s">
        <v>513</v>
      </c>
      <c r="C38" s="8">
        <v>360</v>
      </c>
      <c r="D38" s="8"/>
      <c r="E38" s="8"/>
      <c r="F38" s="8"/>
      <c r="G38" s="145"/>
    </row>
    <row r="39" spans="1:7" x14ac:dyDescent="0.35">
      <c r="A39" s="29" t="s">
        <v>299</v>
      </c>
      <c r="B39" s="29" t="s">
        <v>514</v>
      </c>
      <c r="C39" s="8">
        <v>375</v>
      </c>
      <c r="D39" s="8"/>
      <c r="E39" s="8"/>
      <c r="F39" s="8"/>
      <c r="G39" s="145"/>
    </row>
    <row r="40" spans="1:7" x14ac:dyDescent="0.35">
      <c r="A40" s="29" t="s">
        <v>300</v>
      </c>
      <c r="B40" s="29" t="s">
        <v>515</v>
      </c>
      <c r="C40" s="8">
        <v>390</v>
      </c>
      <c r="D40" s="8"/>
      <c r="E40" s="8"/>
      <c r="F40" s="8"/>
      <c r="G40" s="145"/>
    </row>
    <row r="41" spans="1:7" x14ac:dyDescent="0.35">
      <c r="A41" s="29" t="s">
        <v>301</v>
      </c>
      <c r="B41" s="29" t="s">
        <v>516</v>
      </c>
      <c r="C41" s="8">
        <v>405</v>
      </c>
      <c r="D41" s="8"/>
      <c r="E41" s="8"/>
      <c r="F41" s="8"/>
      <c r="G41" s="145"/>
    </row>
    <row r="42" spans="1:7" x14ac:dyDescent="0.35">
      <c r="A42" s="29" t="s">
        <v>302</v>
      </c>
      <c r="B42" s="29" t="s">
        <v>517</v>
      </c>
      <c r="C42" s="8">
        <v>420</v>
      </c>
      <c r="D42" s="8"/>
      <c r="E42" s="8"/>
      <c r="F42" s="8"/>
      <c r="G42" s="145"/>
    </row>
    <row r="43" spans="1:7" x14ac:dyDescent="0.35">
      <c r="A43" s="29" t="s">
        <v>303</v>
      </c>
      <c r="B43" s="29" t="s">
        <v>518</v>
      </c>
      <c r="C43" s="8">
        <v>435</v>
      </c>
      <c r="D43" s="8"/>
      <c r="E43" s="8"/>
      <c r="F43" s="8"/>
      <c r="G43" s="145"/>
    </row>
    <row r="44" spans="1:7" x14ac:dyDescent="0.35">
      <c r="A44" s="29" t="s">
        <v>304</v>
      </c>
      <c r="B44" s="29" t="s">
        <v>519</v>
      </c>
      <c r="C44" s="8">
        <v>450</v>
      </c>
      <c r="D44" s="8"/>
      <c r="E44" s="8"/>
      <c r="F44" s="8"/>
      <c r="G44" s="145"/>
    </row>
    <row r="45" spans="1:7" x14ac:dyDescent="0.35">
      <c r="A45" s="29" t="s">
        <v>305</v>
      </c>
      <c r="B45" s="29" t="s">
        <v>520</v>
      </c>
      <c r="C45" s="8">
        <v>465</v>
      </c>
      <c r="D45" s="8"/>
      <c r="E45" s="8"/>
      <c r="F45" s="8"/>
      <c r="G45" s="145"/>
    </row>
    <row r="46" spans="1:7" x14ac:dyDescent="0.35">
      <c r="A46" s="29" t="s">
        <v>524</v>
      </c>
      <c r="B46" s="29" t="s">
        <v>521</v>
      </c>
      <c r="C46" s="8">
        <v>480</v>
      </c>
      <c r="D46" s="8"/>
      <c r="E46" s="8"/>
      <c r="F46" s="8"/>
      <c r="G46" s="145"/>
    </row>
    <row r="47" spans="1:7" x14ac:dyDescent="0.35">
      <c r="A47" s="29" t="s">
        <v>525</v>
      </c>
      <c r="B47" s="29" t="s">
        <v>522</v>
      </c>
      <c r="C47" s="8">
        <v>495</v>
      </c>
      <c r="D47" s="8"/>
      <c r="E47" s="8"/>
      <c r="F47" s="8"/>
      <c r="G47" s="145"/>
    </row>
    <row r="48" spans="1:7" x14ac:dyDescent="0.35">
      <c r="A48" s="29" t="s">
        <v>526</v>
      </c>
      <c r="B48" s="29" t="s">
        <v>523</v>
      </c>
      <c r="C48" s="8">
        <v>510</v>
      </c>
      <c r="D48" s="8"/>
      <c r="E48" s="8"/>
      <c r="F48" s="8"/>
      <c r="G48" s="145"/>
    </row>
    <row r="49" spans="1:23" x14ac:dyDescent="0.35">
      <c r="A49" s="367" t="s">
        <v>318</v>
      </c>
      <c r="B49" s="368"/>
      <c r="C49" s="169" t="s">
        <v>478</v>
      </c>
      <c r="D49" s="57"/>
      <c r="E49" s="57"/>
      <c r="F49" s="57"/>
      <c r="G49" s="162"/>
    </row>
    <row r="50" spans="1:23" x14ac:dyDescent="0.35">
      <c r="A50" s="12" t="s">
        <v>527</v>
      </c>
      <c r="B50" s="13" t="s">
        <v>530</v>
      </c>
      <c r="C50" s="8">
        <v>380</v>
      </c>
      <c r="D50" s="8"/>
      <c r="E50" s="8"/>
      <c r="F50" s="8"/>
      <c r="G50" s="145"/>
    </row>
    <row r="51" spans="1:23" x14ac:dyDescent="0.35">
      <c r="A51" s="12" t="s">
        <v>528</v>
      </c>
      <c r="B51" s="13" t="s">
        <v>531</v>
      </c>
      <c r="C51" s="8">
        <v>390</v>
      </c>
      <c r="D51" s="8"/>
      <c r="E51" s="8"/>
      <c r="F51" s="8"/>
      <c r="G51" s="145"/>
    </row>
    <row r="52" spans="1:23" x14ac:dyDescent="0.35">
      <c r="A52" s="12" t="s">
        <v>529</v>
      </c>
      <c r="B52" s="13" t="s">
        <v>532</v>
      </c>
      <c r="C52" s="8">
        <v>400</v>
      </c>
      <c r="D52" s="8"/>
      <c r="E52" s="8"/>
      <c r="F52" s="8"/>
      <c r="G52" s="145"/>
    </row>
    <row r="53" spans="1:23" x14ac:dyDescent="0.35">
      <c r="A53" s="12" t="s">
        <v>533</v>
      </c>
      <c r="B53" s="13" t="s">
        <v>534</v>
      </c>
      <c r="C53" s="8">
        <v>410</v>
      </c>
      <c r="D53" s="8"/>
      <c r="E53" s="8"/>
      <c r="F53" s="8"/>
      <c r="G53" s="145"/>
    </row>
    <row r="54" spans="1:23" x14ac:dyDescent="0.35">
      <c r="A54" s="12" t="s">
        <v>535</v>
      </c>
      <c r="B54" s="13" t="s">
        <v>536</v>
      </c>
      <c r="C54" s="8">
        <v>420</v>
      </c>
      <c r="D54" s="8"/>
      <c r="E54" s="8"/>
      <c r="F54" s="8"/>
      <c r="G54" s="145"/>
    </row>
    <row r="55" spans="1:23" x14ac:dyDescent="0.35">
      <c r="A55" s="12" t="s">
        <v>537</v>
      </c>
      <c r="B55" s="13" t="s">
        <v>538</v>
      </c>
      <c r="C55" s="8">
        <v>430</v>
      </c>
      <c r="D55" s="8"/>
      <c r="E55" s="8"/>
      <c r="F55" s="8"/>
      <c r="G55" s="145"/>
    </row>
    <row r="56" spans="1:23" x14ac:dyDescent="0.35">
      <c r="A56" s="12" t="s">
        <v>539</v>
      </c>
      <c r="B56" s="13" t="s">
        <v>540</v>
      </c>
      <c r="C56" s="8">
        <v>440</v>
      </c>
      <c r="D56" s="8"/>
      <c r="E56" s="8"/>
      <c r="F56" s="8"/>
      <c r="G56" s="145"/>
    </row>
    <row r="57" spans="1:23" x14ac:dyDescent="0.35">
      <c r="A57" s="12" t="s">
        <v>319</v>
      </c>
      <c r="B57" s="13" t="s">
        <v>541</v>
      </c>
      <c r="C57" s="8">
        <v>450</v>
      </c>
      <c r="D57" s="8"/>
      <c r="E57" s="8"/>
      <c r="F57" s="8"/>
      <c r="G57" s="145"/>
    </row>
    <row r="58" spans="1:23" x14ac:dyDescent="0.35">
      <c r="A58" s="12" t="s">
        <v>320</v>
      </c>
      <c r="B58" s="13" t="s">
        <v>542</v>
      </c>
      <c r="C58" s="8">
        <v>460</v>
      </c>
      <c r="D58" s="8"/>
      <c r="E58" s="8"/>
      <c r="F58" s="8"/>
      <c r="G58" s="145"/>
    </row>
    <row r="59" spans="1:23" x14ac:dyDescent="0.35">
      <c r="A59" s="12" t="s">
        <v>321</v>
      </c>
      <c r="B59" s="13" t="s">
        <v>543</v>
      </c>
      <c r="C59" s="8">
        <v>470</v>
      </c>
      <c r="D59" s="8"/>
      <c r="E59" s="8"/>
      <c r="F59" s="8"/>
      <c r="G59" s="145"/>
    </row>
    <row r="60" spans="1:23" x14ac:dyDescent="0.35">
      <c r="A60" s="12" t="s">
        <v>322</v>
      </c>
      <c r="B60" s="13" t="s">
        <v>544</v>
      </c>
      <c r="C60" s="8">
        <v>480</v>
      </c>
      <c r="D60" s="8"/>
      <c r="E60" s="8"/>
      <c r="F60" s="8"/>
      <c r="G60" s="145"/>
      <c r="S60" t="s">
        <v>631</v>
      </c>
      <c r="V60">
        <v>81</v>
      </c>
      <c r="W60" t="s">
        <v>633</v>
      </c>
    </row>
    <row r="61" spans="1:23" x14ac:dyDescent="0.35">
      <c r="A61" s="12" t="s">
        <v>323</v>
      </c>
      <c r="B61" s="13" t="s">
        <v>545</v>
      </c>
      <c r="C61" s="8">
        <v>490</v>
      </c>
      <c r="D61" s="8"/>
      <c r="E61" s="8"/>
      <c r="F61" s="8"/>
      <c r="G61" s="145"/>
      <c r="S61" t="s">
        <v>632</v>
      </c>
      <c r="V61">
        <v>55</v>
      </c>
      <c r="W61" t="s">
        <v>633</v>
      </c>
    </row>
    <row r="62" spans="1:23" x14ac:dyDescent="0.35">
      <c r="A62" s="12" t="s">
        <v>324</v>
      </c>
      <c r="B62" s="13" t="s">
        <v>546</v>
      </c>
      <c r="C62" s="8">
        <v>500</v>
      </c>
      <c r="D62" s="8"/>
      <c r="E62" s="8"/>
      <c r="F62" s="8"/>
      <c r="G62" s="145"/>
    </row>
    <row r="63" spans="1:23" x14ac:dyDescent="0.35">
      <c r="A63" s="12" t="s">
        <v>325</v>
      </c>
      <c r="B63" s="13" t="s">
        <v>547</v>
      </c>
      <c r="C63" s="8">
        <v>510</v>
      </c>
      <c r="D63" s="8"/>
      <c r="E63" s="8"/>
      <c r="F63" s="8"/>
      <c r="G63" s="145"/>
    </row>
    <row r="64" spans="1:23" x14ac:dyDescent="0.35">
      <c r="A64" s="12" t="s">
        <v>326</v>
      </c>
      <c r="B64" s="13" t="s">
        <v>548</v>
      </c>
      <c r="C64" s="8">
        <v>520</v>
      </c>
      <c r="D64" s="8"/>
      <c r="E64" s="8"/>
      <c r="F64" s="8"/>
      <c r="G64" s="145"/>
    </row>
    <row r="65" spans="1:31" x14ac:dyDescent="0.35">
      <c r="A65" s="12" t="s">
        <v>327</v>
      </c>
      <c r="B65" s="13" t="s">
        <v>549</v>
      </c>
      <c r="C65" s="8">
        <v>530</v>
      </c>
      <c r="D65" s="8"/>
      <c r="E65" s="8"/>
      <c r="F65" s="8"/>
      <c r="G65" s="145"/>
    </row>
    <row r="66" spans="1:31" x14ac:dyDescent="0.35">
      <c r="A66" s="367" t="s">
        <v>550</v>
      </c>
      <c r="B66" s="368"/>
      <c r="C66" s="169" t="s">
        <v>479</v>
      </c>
      <c r="D66" s="57"/>
      <c r="E66" s="57"/>
      <c r="F66" s="57"/>
      <c r="G66" s="162"/>
    </row>
    <row r="67" spans="1:31" x14ac:dyDescent="0.35">
      <c r="A67" s="12" t="s">
        <v>552</v>
      </c>
      <c r="B67" s="13" t="s">
        <v>553</v>
      </c>
      <c r="C67" s="8">
        <v>360</v>
      </c>
      <c r="D67" s="8"/>
      <c r="E67" s="8"/>
      <c r="F67" s="8"/>
      <c r="G67" s="145"/>
    </row>
    <row r="68" spans="1:31" x14ac:dyDescent="0.35">
      <c r="A68" s="12" t="s">
        <v>574</v>
      </c>
      <c r="B68" s="13" t="s">
        <v>565</v>
      </c>
      <c r="C68" s="8">
        <v>370</v>
      </c>
      <c r="D68" s="8"/>
      <c r="E68" s="8"/>
      <c r="F68" s="8"/>
      <c r="G68" s="145"/>
    </row>
    <row r="69" spans="1:31" x14ac:dyDescent="0.35">
      <c r="A69" s="12" t="s">
        <v>551</v>
      </c>
      <c r="B69" s="13" t="s">
        <v>554</v>
      </c>
      <c r="C69" s="8">
        <v>380</v>
      </c>
      <c r="D69" s="8"/>
      <c r="E69" s="8"/>
      <c r="F69" s="8"/>
      <c r="G69" s="145"/>
    </row>
    <row r="70" spans="1:31" x14ac:dyDescent="0.35">
      <c r="A70" s="12" t="s">
        <v>340</v>
      </c>
      <c r="B70" s="13" t="s">
        <v>566</v>
      </c>
      <c r="C70" s="8">
        <v>390</v>
      </c>
      <c r="D70" s="8"/>
      <c r="E70" s="8"/>
      <c r="F70" s="8"/>
      <c r="G70" s="145"/>
    </row>
    <row r="71" spans="1:31" x14ac:dyDescent="0.35">
      <c r="A71" s="12" t="s">
        <v>341</v>
      </c>
      <c r="B71" s="13" t="s">
        <v>555</v>
      </c>
      <c r="C71" s="8">
        <v>400</v>
      </c>
      <c r="D71" s="8"/>
      <c r="E71" s="8"/>
      <c r="F71" s="8"/>
      <c r="G71" s="145"/>
    </row>
    <row r="72" spans="1:31" x14ac:dyDescent="0.35">
      <c r="A72" s="12" t="s">
        <v>344</v>
      </c>
      <c r="B72" s="13" t="s">
        <v>567</v>
      </c>
      <c r="C72" s="8">
        <v>410</v>
      </c>
      <c r="D72" s="8"/>
      <c r="E72" s="8"/>
      <c r="F72" s="8"/>
      <c r="G72" s="145"/>
    </row>
    <row r="73" spans="1:31" x14ac:dyDescent="0.35">
      <c r="A73" s="12" t="s">
        <v>346</v>
      </c>
      <c r="B73" s="13" t="s">
        <v>556</v>
      </c>
      <c r="C73" s="8">
        <v>420</v>
      </c>
      <c r="D73" s="8"/>
      <c r="E73" s="8"/>
      <c r="F73" s="8"/>
      <c r="G73" s="145"/>
    </row>
    <row r="74" spans="1:31" x14ac:dyDescent="0.35">
      <c r="A74" s="12" t="s">
        <v>348</v>
      </c>
      <c r="B74" s="13" t="s">
        <v>568</v>
      </c>
      <c r="C74" s="8">
        <v>430</v>
      </c>
      <c r="D74" s="8"/>
      <c r="E74" s="8"/>
      <c r="F74" s="8"/>
      <c r="G74" s="145"/>
    </row>
    <row r="75" spans="1:31" x14ac:dyDescent="0.35">
      <c r="A75" s="12" t="s">
        <v>350</v>
      </c>
      <c r="B75" s="13" t="s">
        <v>557</v>
      </c>
      <c r="C75" s="8">
        <v>440</v>
      </c>
      <c r="D75" s="8"/>
      <c r="E75" s="8"/>
      <c r="F75" s="8"/>
      <c r="G75" s="145"/>
    </row>
    <row r="76" spans="1:31" x14ac:dyDescent="0.35">
      <c r="A76" s="12" t="s">
        <v>352</v>
      </c>
      <c r="B76" s="13" t="s">
        <v>569</v>
      </c>
      <c r="C76" s="8">
        <v>450</v>
      </c>
      <c r="D76" s="8"/>
      <c r="E76" s="8"/>
      <c r="F76" s="8"/>
      <c r="G76" s="145"/>
    </row>
    <row r="77" spans="1:31" x14ac:dyDescent="0.35">
      <c r="A77" s="12" t="s">
        <v>354</v>
      </c>
      <c r="B77" s="13" t="s">
        <v>558</v>
      </c>
      <c r="C77" s="8">
        <v>460</v>
      </c>
      <c r="D77" s="8"/>
      <c r="E77" s="8"/>
      <c r="F77" s="8"/>
      <c r="G77" s="145"/>
    </row>
    <row r="78" spans="1:31" x14ac:dyDescent="0.35">
      <c r="A78" s="12" t="s">
        <v>356</v>
      </c>
      <c r="B78" s="13" t="s">
        <v>570</v>
      </c>
      <c r="C78" s="8">
        <v>470</v>
      </c>
      <c r="D78" s="8"/>
      <c r="E78" s="8"/>
      <c r="F78" s="8"/>
      <c r="G78" s="145"/>
      <c r="N78" s="369" t="s">
        <v>635</v>
      </c>
      <c r="O78" s="354"/>
      <c r="P78" s="354"/>
      <c r="Q78" s="354"/>
      <c r="R78" s="354"/>
      <c r="S78" s="354"/>
      <c r="T78" s="354"/>
      <c r="U78" s="354"/>
      <c r="V78" s="354"/>
      <c r="W78" s="354"/>
      <c r="X78" s="354"/>
      <c r="Y78" s="354"/>
      <c r="Z78" s="354"/>
      <c r="AA78" s="354"/>
      <c r="AB78" s="354"/>
      <c r="AC78" s="354"/>
      <c r="AD78" s="354"/>
      <c r="AE78" s="352"/>
    </row>
    <row r="79" spans="1:31" x14ac:dyDescent="0.35">
      <c r="A79" s="12" t="s">
        <v>358</v>
      </c>
      <c r="B79" s="13" t="s">
        <v>559</v>
      </c>
      <c r="C79" s="8">
        <v>480</v>
      </c>
      <c r="D79" s="8"/>
      <c r="E79" s="8"/>
      <c r="F79" s="8"/>
      <c r="G79" s="145"/>
      <c r="N79" s="370"/>
      <c r="O79" s="355"/>
      <c r="P79" s="355"/>
      <c r="Q79" s="355"/>
      <c r="R79" s="355"/>
      <c r="S79" s="355"/>
      <c r="T79" s="355"/>
      <c r="U79" s="355"/>
      <c r="V79" s="355"/>
      <c r="W79" s="355"/>
      <c r="X79" s="355"/>
      <c r="Y79" s="355"/>
      <c r="Z79" s="355"/>
      <c r="AA79" s="355"/>
      <c r="AB79" s="355"/>
      <c r="AC79" s="355"/>
      <c r="AD79" s="355"/>
      <c r="AE79" s="353"/>
    </row>
    <row r="80" spans="1:31" x14ac:dyDescent="0.35">
      <c r="A80" s="12" t="s">
        <v>573</v>
      </c>
      <c r="B80" s="13" t="s">
        <v>571</v>
      </c>
      <c r="C80" s="8">
        <v>490</v>
      </c>
      <c r="D80" s="8"/>
      <c r="E80" s="8"/>
      <c r="F80" s="8"/>
      <c r="G80" s="145"/>
      <c r="N80" s="385" t="s">
        <v>636</v>
      </c>
      <c r="O80" s="371" t="s">
        <v>630</v>
      </c>
      <c r="P80" s="352" t="s">
        <v>634</v>
      </c>
      <c r="Q80" s="369" t="s">
        <v>278</v>
      </c>
      <c r="R80" s="352" t="s">
        <v>634</v>
      </c>
      <c r="S80" s="354" t="s">
        <v>277</v>
      </c>
      <c r="T80" s="354" t="s">
        <v>634</v>
      </c>
      <c r="U80" s="369" t="s">
        <v>493</v>
      </c>
      <c r="V80" s="352" t="s">
        <v>634</v>
      </c>
      <c r="W80" s="381" t="s">
        <v>640</v>
      </c>
      <c r="X80" s="383" t="s">
        <v>630</v>
      </c>
      <c r="Y80" s="352" t="s">
        <v>634</v>
      </c>
      <c r="Z80" s="369" t="s">
        <v>278</v>
      </c>
      <c r="AA80" s="352" t="s">
        <v>634</v>
      </c>
      <c r="AB80" s="354" t="s">
        <v>277</v>
      </c>
      <c r="AC80" s="352" t="s">
        <v>634</v>
      </c>
      <c r="AD80" s="354" t="s">
        <v>493</v>
      </c>
      <c r="AE80" s="352" t="s">
        <v>634</v>
      </c>
    </row>
    <row r="81" spans="1:31" ht="14.4" customHeight="1" x14ac:dyDescent="0.35">
      <c r="A81" s="12" t="s">
        <v>572</v>
      </c>
      <c r="B81" s="13" t="s">
        <v>560</v>
      </c>
      <c r="C81" s="8">
        <v>500</v>
      </c>
      <c r="D81" s="8"/>
      <c r="E81" s="8"/>
      <c r="F81" s="8"/>
      <c r="G81" s="145"/>
      <c r="N81" s="386"/>
      <c r="O81" s="372"/>
      <c r="P81" s="353"/>
      <c r="Q81" s="370"/>
      <c r="R81" s="353"/>
      <c r="S81" s="355"/>
      <c r="T81" s="355"/>
      <c r="U81" s="370"/>
      <c r="V81" s="353"/>
      <c r="W81" s="382"/>
      <c r="X81" s="384"/>
      <c r="Y81" s="353"/>
      <c r="Z81" s="370"/>
      <c r="AA81" s="353"/>
      <c r="AB81" s="355"/>
      <c r="AC81" s="353"/>
      <c r="AD81" s="355"/>
      <c r="AE81" s="353"/>
    </row>
    <row r="82" spans="1:31" x14ac:dyDescent="0.35">
      <c r="A82" s="367" t="s">
        <v>360</v>
      </c>
      <c r="B82" s="368"/>
      <c r="C82" s="169" t="s">
        <v>440</v>
      </c>
      <c r="D82" s="57"/>
      <c r="E82" s="57"/>
      <c r="F82" s="57"/>
      <c r="G82" s="162"/>
      <c r="N82" s="1" t="s">
        <v>634</v>
      </c>
      <c r="O82" s="186">
        <v>0</v>
      </c>
      <c r="P82" s="187"/>
      <c r="Q82" s="188">
        <f>Q83-O83</f>
        <v>19.769999999999982</v>
      </c>
      <c r="R82" s="188"/>
      <c r="S82" s="186">
        <f>S83-Q83</f>
        <v>19.439999999999998</v>
      </c>
      <c r="T82" s="187"/>
      <c r="U82" s="188">
        <f>U83-S83</f>
        <v>19.090000000000003</v>
      </c>
      <c r="V82" s="187"/>
      <c r="W82" s="186"/>
      <c r="X82" s="186">
        <v>0</v>
      </c>
      <c r="Y82" s="187"/>
      <c r="Z82" s="188">
        <f>Z83-X83</f>
        <v>19</v>
      </c>
      <c r="AA82" s="188"/>
      <c r="AB82" s="186">
        <f>AB83-Z83</f>
        <v>18.370000000000005</v>
      </c>
      <c r="AC82" s="187"/>
      <c r="AD82" s="188">
        <f>AD83-AB83</f>
        <v>17.759999999999991</v>
      </c>
      <c r="AE82" s="187"/>
    </row>
    <row r="83" spans="1:31" x14ac:dyDescent="0.35">
      <c r="A83" s="12" t="s">
        <v>575</v>
      </c>
      <c r="B83" s="13" t="s">
        <v>561</v>
      </c>
      <c r="C83" s="8">
        <v>200</v>
      </c>
      <c r="D83" s="8"/>
      <c r="E83" s="8"/>
      <c r="F83" s="8"/>
      <c r="G83" s="145"/>
      <c r="N83" s="30" t="s">
        <v>575</v>
      </c>
      <c r="O83" s="197">
        <v>135.08000000000001</v>
      </c>
      <c r="P83" s="174"/>
      <c r="Q83" s="183">
        <v>154.85</v>
      </c>
      <c r="R83" s="174"/>
      <c r="S83" s="163">
        <v>174.29</v>
      </c>
      <c r="T83" s="173"/>
      <c r="U83" s="181">
        <v>193.38</v>
      </c>
      <c r="V83" s="163"/>
      <c r="W83" s="30" t="s">
        <v>575</v>
      </c>
      <c r="X83" s="197">
        <v>149.09</v>
      </c>
      <c r="Y83" s="174"/>
      <c r="Z83" s="163">
        <v>168.09</v>
      </c>
      <c r="AA83" s="173"/>
      <c r="AB83" s="181">
        <v>186.46</v>
      </c>
      <c r="AC83" s="174"/>
      <c r="AD83" s="173">
        <v>204.22</v>
      </c>
      <c r="AE83" s="174"/>
    </row>
    <row r="84" spans="1:31" x14ac:dyDescent="0.35">
      <c r="A84" s="12" t="s">
        <v>576</v>
      </c>
      <c r="B84" s="13" t="s">
        <v>588</v>
      </c>
      <c r="C84" s="8">
        <v>210</v>
      </c>
      <c r="D84" s="8"/>
      <c r="E84" s="8"/>
      <c r="F84" s="8"/>
      <c r="G84" s="145"/>
      <c r="N84" s="30" t="s">
        <v>576</v>
      </c>
      <c r="O84" s="181">
        <v>136.84</v>
      </c>
      <c r="P84" s="175">
        <f t="shared" ref="P84:P114" si="0">O84-O83</f>
        <v>1.7599999999999909</v>
      </c>
      <c r="Q84" s="183">
        <v>156.59</v>
      </c>
      <c r="R84" s="175">
        <f>Q84-Q83</f>
        <v>1.7400000000000091</v>
      </c>
      <c r="S84" s="163">
        <v>176.03</v>
      </c>
      <c r="T84" s="163">
        <f>S84-S83</f>
        <v>1.7400000000000091</v>
      </c>
      <c r="U84" s="181">
        <v>195.14</v>
      </c>
      <c r="V84" s="163">
        <f>U84-U83</f>
        <v>1.7599999999999909</v>
      </c>
      <c r="W84" s="30" t="s">
        <v>576</v>
      </c>
      <c r="X84" s="181">
        <v>152.62</v>
      </c>
      <c r="Y84" s="175">
        <f t="shared" ref="Y84:Y114" si="1">X84-X83</f>
        <v>3.5300000000000011</v>
      </c>
      <c r="Z84" s="163">
        <v>171.55</v>
      </c>
      <c r="AA84" s="163">
        <f>Z84-Z83</f>
        <v>3.460000000000008</v>
      </c>
      <c r="AB84" s="181">
        <v>189.89</v>
      </c>
      <c r="AC84" s="175">
        <f>AB84-AB83</f>
        <v>3.4299999999999784</v>
      </c>
      <c r="AD84" s="173">
        <v>207.65</v>
      </c>
      <c r="AE84" s="175">
        <f>AD84-AD83</f>
        <v>3.4300000000000068</v>
      </c>
    </row>
    <row r="85" spans="1:31" x14ac:dyDescent="0.35">
      <c r="A85" s="12" t="s">
        <v>577</v>
      </c>
      <c r="B85" s="13" t="s">
        <v>589</v>
      </c>
      <c r="C85" s="8">
        <v>220</v>
      </c>
      <c r="D85" s="8"/>
      <c r="E85" s="8"/>
      <c r="F85" s="8"/>
      <c r="G85" s="145"/>
      <c r="N85" s="30" t="s">
        <v>577</v>
      </c>
      <c r="O85" s="181">
        <v>138.59</v>
      </c>
      <c r="P85" s="175">
        <f t="shared" si="0"/>
        <v>1.75</v>
      </c>
      <c r="Q85" s="183">
        <v>158.33000000000001</v>
      </c>
      <c r="R85" s="184">
        <f>Q85-Q84</f>
        <v>1.7400000000000091</v>
      </c>
      <c r="S85" s="163">
        <v>177.76</v>
      </c>
      <c r="T85" s="163">
        <f>S85-S84</f>
        <v>1.7299999999999898</v>
      </c>
      <c r="U85" s="181">
        <v>196.89</v>
      </c>
      <c r="V85" s="163">
        <f t="shared" ref="V85" si="2">U85-U84</f>
        <v>1.75</v>
      </c>
      <c r="W85" s="30" t="s">
        <v>577</v>
      </c>
      <c r="X85" s="181">
        <v>156.13999999999999</v>
      </c>
      <c r="Y85" s="175">
        <f t="shared" si="1"/>
        <v>3.5199999999999818</v>
      </c>
      <c r="Z85" s="185">
        <v>175.01</v>
      </c>
      <c r="AA85" s="185">
        <f>Z85-Z84</f>
        <v>3.4599999999999795</v>
      </c>
      <c r="AB85" s="181"/>
      <c r="AC85" s="174">
        <f t="shared" ref="AA85:AC112" si="3">AB85-AB84</f>
        <v>-189.89</v>
      </c>
      <c r="AD85" s="173"/>
      <c r="AE85" s="174">
        <f t="shared" ref="AE85" si="4">AD85-AD84</f>
        <v>-207.65</v>
      </c>
    </row>
    <row r="86" spans="1:31" x14ac:dyDescent="0.35">
      <c r="A86" s="12" t="s">
        <v>578</v>
      </c>
      <c r="B86" s="13" t="s">
        <v>590</v>
      </c>
      <c r="C86" s="8">
        <v>230</v>
      </c>
      <c r="D86" s="8"/>
      <c r="E86" s="8"/>
      <c r="F86" s="8"/>
      <c r="G86" s="145"/>
      <c r="N86" s="30" t="s">
        <v>578</v>
      </c>
      <c r="O86" s="181">
        <v>140.35</v>
      </c>
      <c r="P86" s="175">
        <f t="shared" si="0"/>
        <v>1.7599999999999909</v>
      </c>
      <c r="Q86" s="182"/>
      <c r="R86" s="174">
        <f t="shared" ref="R86" si="5">Q86-Q85</f>
        <v>-158.33000000000001</v>
      </c>
      <c r="S86" s="173"/>
      <c r="T86" s="173">
        <f t="shared" ref="T86:V86" si="6">S86-S85</f>
        <v>-177.76</v>
      </c>
      <c r="U86" s="182"/>
      <c r="V86" s="173">
        <f t="shared" si="6"/>
        <v>-196.89</v>
      </c>
      <c r="W86" s="30" t="s">
        <v>578</v>
      </c>
      <c r="X86" s="181">
        <v>159.63999999999999</v>
      </c>
      <c r="Y86" s="175">
        <f t="shared" si="1"/>
        <v>3.5</v>
      </c>
      <c r="Z86" s="185">
        <v>178.46</v>
      </c>
      <c r="AA86" s="185">
        <f t="shared" si="3"/>
        <v>3.4500000000000171</v>
      </c>
      <c r="AB86" s="182"/>
      <c r="AC86" s="174">
        <f t="shared" si="3"/>
        <v>0</v>
      </c>
      <c r="AD86" s="173"/>
      <c r="AE86" s="174">
        <f t="shared" ref="AE86" si="7">AD86-AD85</f>
        <v>0</v>
      </c>
    </row>
    <row r="87" spans="1:31" x14ac:dyDescent="0.35">
      <c r="A87" s="12" t="s">
        <v>579</v>
      </c>
      <c r="B87" s="13" t="s">
        <v>591</v>
      </c>
      <c r="C87" s="8">
        <v>240</v>
      </c>
      <c r="D87" s="8"/>
      <c r="E87" s="8"/>
      <c r="F87" s="8"/>
      <c r="G87" s="145"/>
      <c r="N87" s="30" t="s">
        <v>579</v>
      </c>
      <c r="O87" s="181">
        <v>142.1</v>
      </c>
      <c r="P87" s="175">
        <f t="shared" si="0"/>
        <v>1.75</v>
      </c>
      <c r="Q87" s="182"/>
      <c r="R87" s="174">
        <f t="shared" ref="R87" si="8">Q87-Q86</f>
        <v>0</v>
      </c>
      <c r="S87" s="173"/>
      <c r="T87" s="173">
        <f t="shared" ref="T87:V87" si="9">S87-S86</f>
        <v>0</v>
      </c>
      <c r="U87" s="182"/>
      <c r="V87" s="173">
        <f t="shared" si="9"/>
        <v>0</v>
      </c>
      <c r="W87" s="30" t="s">
        <v>579</v>
      </c>
      <c r="X87" s="181">
        <v>163.15</v>
      </c>
      <c r="Y87" s="175">
        <f t="shared" si="1"/>
        <v>3.5100000000000193</v>
      </c>
      <c r="Z87" s="185">
        <v>181.91</v>
      </c>
      <c r="AA87" s="185">
        <f t="shared" si="3"/>
        <v>3.4499999999999886</v>
      </c>
      <c r="AB87" s="182"/>
      <c r="AC87" s="174">
        <f t="shared" si="3"/>
        <v>0</v>
      </c>
      <c r="AD87" s="173"/>
      <c r="AE87" s="174">
        <f t="shared" ref="AE87" si="10">AD87-AD86</f>
        <v>0</v>
      </c>
    </row>
    <row r="88" spans="1:31" x14ac:dyDescent="0.35">
      <c r="A88" s="12" t="s">
        <v>580</v>
      </c>
      <c r="B88" s="13" t="s">
        <v>562</v>
      </c>
      <c r="C88" s="8">
        <v>250</v>
      </c>
      <c r="D88" s="8"/>
      <c r="E88" s="8"/>
      <c r="F88" s="8"/>
      <c r="G88" s="145"/>
      <c r="N88" s="30" t="s">
        <v>580</v>
      </c>
      <c r="O88" s="181">
        <v>143.85</v>
      </c>
      <c r="P88" s="175">
        <f t="shared" si="0"/>
        <v>1.75</v>
      </c>
      <c r="Q88" s="182"/>
      <c r="R88" s="174">
        <f t="shared" ref="R88" si="11">Q88-Q87</f>
        <v>0</v>
      </c>
      <c r="S88" s="173"/>
      <c r="T88" s="173">
        <f t="shared" ref="T88:V88" si="12">S88-S87</f>
        <v>0</v>
      </c>
      <c r="U88" s="182"/>
      <c r="V88" s="173">
        <f t="shared" si="12"/>
        <v>0</v>
      </c>
      <c r="W88" s="30" t="s">
        <v>580</v>
      </c>
      <c r="X88" s="181">
        <v>166.64</v>
      </c>
      <c r="Y88" s="175">
        <f t="shared" si="1"/>
        <v>3.4899999999999807</v>
      </c>
      <c r="Z88" s="173"/>
      <c r="AA88" s="173">
        <f t="shared" si="3"/>
        <v>-181.91</v>
      </c>
      <c r="AB88" s="182"/>
      <c r="AC88" s="174">
        <f t="shared" si="3"/>
        <v>0</v>
      </c>
      <c r="AD88" s="173"/>
      <c r="AE88" s="174">
        <f t="shared" ref="AE88" si="13">AD88-AD87</f>
        <v>0</v>
      </c>
    </row>
    <row r="89" spans="1:31" x14ac:dyDescent="0.35">
      <c r="A89" s="12" t="s">
        <v>581</v>
      </c>
      <c r="B89" s="13" t="s">
        <v>592</v>
      </c>
      <c r="C89" s="8">
        <v>260</v>
      </c>
      <c r="D89" s="8"/>
      <c r="E89" s="8"/>
      <c r="F89" s="8"/>
      <c r="G89" s="145"/>
      <c r="N89" s="30" t="s">
        <v>581</v>
      </c>
      <c r="O89" s="181">
        <v>145.6</v>
      </c>
      <c r="P89" s="175">
        <f t="shared" si="0"/>
        <v>1.75</v>
      </c>
      <c r="Q89" s="182"/>
      <c r="R89" s="174">
        <f t="shared" ref="R89" si="14">Q89-Q88</f>
        <v>0</v>
      </c>
      <c r="S89" s="173"/>
      <c r="T89" s="173">
        <f t="shared" ref="T89:V89" si="15">S89-S88</f>
        <v>0</v>
      </c>
      <c r="U89" s="182"/>
      <c r="V89" s="173">
        <f t="shared" si="15"/>
        <v>0</v>
      </c>
      <c r="W89" s="30" t="s">
        <v>581</v>
      </c>
      <c r="X89" s="181">
        <v>170.13</v>
      </c>
      <c r="Y89" s="175">
        <f t="shared" si="1"/>
        <v>3.4900000000000091</v>
      </c>
      <c r="Z89" s="173"/>
      <c r="AA89" s="173">
        <f t="shared" si="3"/>
        <v>0</v>
      </c>
      <c r="AB89" s="182"/>
      <c r="AC89" s="174">
        <f t="shared" si="3"/>
        <v>0</v>
      </c>
      <c r="AD89" s="173"/>
      <c r="AE89" s="174">
        <f t="shared" ref="AE89" si="16">AD89-AD88</f>
        <v>0</v>
      </c>
    </row>
    <row r="90" spans="1:31" x14ac:dyDescent="0.35">
      <c r="A90" s="12" t="s">
        <v>582</v>
      </c>
      <c r="B90" s="13" t="s">
        <v>593</v>
      </c>
      <c r="C90" s="8">
        <v>270</v>
      </c>
      <c r="D90" s="8"/>
      <c r="E90" s="8"/>
      <c r="F90" s="8"/>
      <c r="G90" s="145"/>
      <c r="N90" s="30" t="s">
        <v>582</v>
      </c>
      <c r="O90" s="181">
        <v>147.35</v>
      </c>
      <c r="P90" s="175">
        <f t="shared" si="0"/>
        <v>1.75</v>
      </c>
      <c r="Q90" s="182"/>
      <c r="R90" s="174">
        <f t="shared" ref="R90" si="17">Q90-Q89</f>
        <v>0</v>
      </c>
      <c r="S90" s="173"/>
      <c r="T90" s="173">
        <f t="shared" ref="T90:V90" si="18">S90-S89</f>
        <v>0</v>
      </c>
      <c r="U90" s="182"/>
      <c r="V90" s="173">
        <f t="shared" si="18"/>
        <v>0</v>
      </c>
      <c r="W90" s="30" t="s">
        <v>582</v>
      </c>
      <c r="X90" s="181"/>
      <c r="Y90" s="175">
        <f t="shared" si="1"/>
        <v>-170.13</v>
      </c>
      <c r="Z90" s="173"/>
      <c r="AA90" s="173">
        <f t="shared" si="3"/>
        <v>0</v>
      </c>
      <c r="AB90" s="182"/>
      <c r="AC90" s="174">
        <f t="shared" si="3"/>
        <v>0</v>
      </c>
      <c r="AD90" s="173"/>
      <c r="AE90" s="174">
        <f t="shared" ref="AE90" si="19">AD90-AD89</f>
        <v>0</v>
      </c>
    </row>
    <row r="91" spans="1:31" x14ac:dyDescent="0.35">
      <c r="A91" s="12" t="s">
        <v>583</v>
      </c>
      <c r="B91" s="13" t="s">
        <v>594</v>
      </c>
      <c r="C91" s="8">
        <v>280</v>
      </c>
      <c r="D91" s="8"/>
      <c r="E91" s="8"/>
      <c r="F91" s="8"/>
      <c r="G91" s="145"/>
      <c r="N91" s="30" t="s">
        <v>583</v>
      </c>
      <c r="O91" s="181">
        <v>149.1</v>
      </c>
      <c r="P91" s="174">
        <f t="shared" si="0"/>
        <v>1.75</v>
      </c>
      <c r="Q91" s="182"/>
      <c r="R91" s="174">
        <f t="shared" ref="R91" si="20">Q91-Q90</f>
        <v>0</v>
      </c>
      <c r="S91" s="173"/>
      <c r="T91" s="173">
        <f t="shared" ref="T91:V91" si="21">S91-S90</f>
        <v>0</v>
      </c>
      <c r="U91" s="182"/>
      <c r="V91" s="173">
        <f t="shared" si="21"/>
        <v>0</v>
      </c>
      <c r="W91" s="30" t="s">
        <v>583</v>
      </c>
      <c r="X91" s="181"/>
      <c r="Y91" s="174">
        <f t="shared" si="1"/>
        <v>0</v>
      </c>
      <c r="Z91" s="173"/>
      <c r="AA91" s="173">
        <f t="shared" si="3"/>
        <v>0</v>
      </c>
      <c r="AB91" s="182"/>
      <c r="AC91" s="174">
        <f t="shared" si="3"/>
        <v>0</v>
      </c>
      <c r="AD91" s="173"/>
      <c r="AE91" s="174">
        <f t="shared" ref="AE91" si="22">AD91-AD90</f>
        <v>0</v>
      </c>
    </row>
    <row r="92" spans="1:31" x14ac:dyDescent="0.35">
      <c r="A92" s="12" t="s">
        <v>584</v>
      </c>
      <c r="B92" s="13" t="s">
        <v>595</v>
      </c>
      <c r="C92" s="8">
        <v>290</v>
      </c>
      <c r="D92" s="8"/>
      <c r="E92" s="8"/>
      <c r="F92" s="8"/>
      <c r="G92" s="145"/>
      <c r="N92" s="30" t="s">
        <v>584</v>
      </c>
      <c r="O92" s="181">
        <v>150.85</v>
      </c>
      <c r="P92" s="174">
        <f t="shared" si="0"/>
        <v>1.75</v>
      </c>
      <c r="Q92" s="182"/>
      <c r="R92" s="174">
        <f t="shared" ref="R92" si="23">Q92-Q91</f>
        <v>0</v>
      </c>
      <c r="S92" s="173"/>
      <c r="T92" s="173">
        <f t="shared" ref="T92:V92" si="24">S92-S91</f>
        <v>0</v>
      </c>
      <c r="U92" s="182"/>
      <c r="V92" s="173">
        <f t="shared" si="24"/>
        <v>0</v>
      </c>
      <c r="W92" s="30" t="s">
        <v>584</v>
      </c>
      <c r="X92" s="181"/>
      <c r="Y92" s="174">
        <f t="shared" si="1"/>
        <v>0</v>
      </c>
      <c r="Z92" s="173"/>
      <c r="AA92" s="173">
        <f t="shared" si="3"/>
        <v>0</v>
      </c>
      <c r="AB92" s="182"/>
      <c r="AC92" s="174">
        <f t="shared" si="3"/>
        <v>0</v>
      </c>
      <c r="AD92" s="173"/>
      <c r="AE92" s="174">
        <f t="shared" ref="AE92" si="25">AD92-AD91</f>
        <v>0</v>
      </c>
    </row>
    <row r="93" spans="1:31" x14ac:dyDescent="0.35">
      <c r="A93" s="12" t="s">
        <v>585</v>
      </c>
      <c r="B93" s="13" t="s">
        <v>563</v>
      </c>
      <c r="C93" s="8">
        <v>300</v>
      </c>
      <c r="D93" s="8"/>
      <c r="E93" s="8"/>
      <c r="F93" s="8"/>
      <c r="G93" s="145"/>
      <c r="N93" s="30" t="s">
        <v>585</v>
      </c>
      <c r="O93" s="182">
        <v>152.62286713286699</v>
      </c>
      <c r="P93" s="174">
        <f t="shared" si="0"/>
        <v>1.7728671328669918</v>
      </c>
      <c r="Q93" s="182"/>
      <c r="R93" s="174">
        <f t="shared" ref="R93" si="26">Q93-Q92</f>
        <v>0</v>
      </c>
      <c r="S93" s="173"/>
      <c r="T93" s="173">
        <f t="shared" ref="T93:V93" si="27">S93-S92</f>
        <v>0</v>
      </c>
      <c r="U93" s="182"/>
      <c r="V93" s="173">
        <f t="shared" si="27"/>
        <v>0</v>
      </c>
      <c r="W93" s="30" t="s">
        <v>585</v>
      </c>
      <c r="X93" s="182"/>
      <c r="Y93" s="174">
        <f t="shared" si="1"/>
        <v>0</v>
      </c>
      <c r="Z93" s="173"/>
      <c r="AA93" s="173">
        <f t="shared" si="3"/>
        <v>0</v>
      </c>
      <c r="AB93" s="182"/>
      <c r="AC93" s="174">
        <f t="shared" si="3"/>
        <v>0</v>
      </c>
      <c r="AD93" s="173"/>
      <c r="AE93" s="174">
        <f t="shared" ref="AE93" si="28">AD93-AD92</f>
        <v>0</v>
      </c>
    </row>
    <row r="94" spans="1:31" x14ac:dyDescent="0.35">
      <c r="A94" s="12" t="s">
        <v>586</v>
      </c>
      <c r="B94" s="13" t="s">
        <v>596</v>
      </c>
      <c r="C94" s="8">
        <v>310</v>
      </c>
      <c r="D94" s="8"/>
      <c r="E94" s="8"/>
      <c r="F94" s="8"/>
      <c r="G94" s="145"/>
      <c r="N94" s="30" t="s">
        <v>586</v>
      </c>
      <c r="O94" s="182">
        <v>154.36381118881101</v>
      </c>
      <c r="P94" s="174">
        <f t="shared" si="0"/>
        <v>1.740944055944027</v>
      </c>
      <c r="Q94" s="182"/>
      <c r="R94" s="174">
        <f t="shared" ref="R94" si="29">Q94-Q93</f>
        <v>0</v>
      </c>
      <c r="S94" s="173"/>
      <c r="T94" s="173">
        <f t="shared" ref="T94:V94" si="30">S94-S93</f>
        <v>0</v>
      </c>
      <c r="U94" s="182"/>
      <c r="V94" s="173">
        <f t="shared" si="30"/>
        <v>0</v>
      </c>
      <c r="W94" s="30" t="s">
        <v>586</v>
      </c>
      <c r="X94" s="182"/>
      <c r="Y94" s="174">
        <f t="shared" si="1"/>
        <v>0</v>
      </c>
      <c r="Z94" s="173"/>
      <c r="AA94" s="173">
        <f t="shared" si="3"/>
        <v>0</v>
      </c>
      <c r="AB94" s="182"/>
      <c r="AC94" s="174">
        <f t="shared" si="3"/>
        <v>0</v>
      </c>
      <c r="AD94" s="173"/>
      <c r="AE94" s="174">
        <f t="shared" ref="AE94" si="31">AD94-AD93</f>
        <v>0</v>
      </c>
    </row>
    <row r="95" spans="1:31" x14ac:dyDescent="0.35">
      <c r="A95" s="12" t="s">
        <v>361</v>
      </c>
      <c r="B95" s="13" t="s">
        <v>597</v>
      </c>
      <c r="C95" s="8">
        <v>320</v>
      </c>
      <c r="D95" s="8"/>
      <c r="E95" s="8"/>
      <c r="F95" s="8"/>
      <c r="G95" s="145"/>
      <c r="N95" s="30" t="s">
        <v>361</v>
      </c>
      <c r="O95" s="182">
        <v>156.10475524475501</v>
      </c>
      <c r="P95" s="174">
        <f t="shared" si="0"/>
        <v>1.7409440559439986</v>
      </c>
      <c r="Q95" s="182"/>
      <c r="R95" s="174">
        <f t="shared" ref="R95" si="32">Q95-Q94</f>
        <v>0</v>
      </c>
      <c r="S95" s="173"/>
      <c r="T95" s="173">
        <f t="shared" ref="T95:V95" si="33">S95-S94</f>
        <v>0</v>
      </c>
      <c r="U95" s="182"/>
      <c r="V95" s="173">
        <f t="shared" si="33"/>
        <v>0</v>
      </c>
      <c r="W95" s="30" t="s">
        <v>361</v>
      </c>
      <c r="X95" s="182"/>
      <c r="Y95" s="174">
        <f t="shared" si="1"/>
        <v>0</v>
      </c>
      <c r="Z95" s="173"/>
      <c r="AA95" s="173">
        <f t="shared" si="3"/>
        <v>0</v>
      </c>
      <c r="AB95" s="182"/>
      <c r="AC95" s="174">
        <f t="shared" si="3"/>
        <v>0</v>
      </c>
      <c r="AD95" s="173"/>
      <c r="AE95" s="174">
        <f t="shared" ref="AE95" si="34">AD95-AD94</f>
        <v>0</v>
      </c>
    </row>
    <row r="96" spans="1:31" x14ac:dyDescent="0.35">
      <c r="A96" s="12" t="s">
        <v>381</v>
      </c>
      <c r="B96" s="13" t="s">
        <v>598</v>
      </c>
      <c r="C96" s="8">
        <v>330</v>
      </c>
      <c r="D96" s="8"/>
      <c r="E96" s="8"/>
      <c r="F96" s="8"/>
      <c r="G96" s="145"/>
      <c r="N96" s="30" t="s">
        <v>381</v>
      </c>
      <c r="O96" s="182">
        <v>157.84569930069901</v>
      </c>
      <c r="P96" s="174">
        <f t="shared" si="0"/>
        <v>1.7409440559439986</v>
      </c>
      <c r="Q96" s="182"/>
      <c r="R96" s="174">
        <f t="shared" ref="R96" si="35">Q96-Q95</f>
        <v>0</v>
      </c>
      <c r="S96" s="173"/>
      <c r="T96" s="173">
        <f t="shared" ref="T96:V96" si="36">S96-S95</f>
        <v>0</v>
      </c>
      <c r="U96" s="182"/>
      <c r="V96" s="173">
        <f t="shared" si="36"/>
        <v>0</v>
      </c>
      <c r="W96" s="30" t="s">
        <v>381</v>
      </c>
      <c r="X96" s="182"/>
      <c r="Y96" s="174">
        <f t="shared" si="1"/>
        <v>0</v>
      </c>
      <c r="Z96" s="173"/>
      <c r="AA96" s="173">
        <f t="shared" si="3"/>
        <v>0</v>
      </c>
      <c r="AB96" s="182"/>
      <c r="AC96" s="174">
        <f t="shared" si="3"/>
        <v>0</v>
      </c>
      <c r="AD96" s="173"/>
      <c r="AE96" s="174">
        <f t="shared" ref="AE96" si="37">AD96-AD95</f>
        <v>0</v>
      </c>
    </row>
    <row r="97" spans="1:31" x14ac:dyDescent="0.35">
      <c r="A97" s="12" t="s">
        <v>362</v>
      </c>
      <c r="B97" s="13" t="s">
        <v>599</v>
      </c>
      <c r="C97" s="8">
        <v>340</v>
      </c>
      <c r="D97" s="8"/>
      <c r="E97" s="8"/>
      <c r="F97" s="8"/>
      <c r="G97" s="145"/>
      <c r="N97" s="30" t="s">
        <v>362</v>
      </c>
      <c r="O97" s="182">
        <v>159.58664335664301</v>
      </c>
      <c r="P97" s="174">
        <f t="shared" si="0"/>
        <v>1.7409440559439986</v>
      </c>
      <c r="Q97" s="182"/>
      <c r="R97" s="174">
        <f t="shared" ref="R97" si="38">Q97-Q96</f>
        <v>0</v>
      </c>
      <c r="S97" s="173"/>
      <c r="T97" s="173">
        <f t="shared" ref="T97:V97" si="39">S97-S96</f>
        <v>0</v>
      </c>
      <c r="U97" s="182"/>
      <c r="V97" s="173">
        <f t="shared" si="39"/>
        <v>0</v>
      </c>
      <c r="W97" s="30" t="s">
        <v>362</v>
      </c>
      <c r="X97" s="182"/>
      <c r="Y97" s="174">
        <f t="shared" si="1"/>
        <v>0</v>
      </c>
      <c r="Z97" s="173"/>
      <c r="AA97" s="173">
        <f t="shared" si="3"/>
        <v>0</v>
      </c>
      <c r="AB97" s="182"/>
      <c r="AC97" s="174">
        <f t="shared" si="3"/>
        <v>0</v>
      </c>
      <c r="AD97" s="173"/>
      <c r="AE97" s="174">
        <f t="shared" ref="AE97" si="40">AD97-AD96</f>
        <v>0</v>
      </c>
    </row>
    <row r="98" spans="1:31" x14ac:dyDescent="0.35">
      <c r="A98" s="12" t="s">
        <v>382</v>
      </c>
      <c r="B98" s="13" t="s">
        <v>564</v>
      </c>
      <c r="C98" s="8">
        <v>350</v>
      </c>
      <c r="D98" s="8"/>
      <c r="E98" s="8"/>
      <c r="F98" s="8"/>
      <c r="G98" s="145"/>
      <c r="N98" s="30" t="s">
        <v>382</v>
      </c>
      <c r="O98" s="182">
        <v>161.32758741258701</v>
      </c>
      <c r="P98" s="174">
        <f t="shared" si="0"/>
        <v>1.7409440559439986</v>
      </c>
      <c r="Q98" s="182"/>
      <c r="R98" s="174">
        <f t="shared" ref="R98" si="41">Q98-Q97</f>
        <v>0</v>
      </c>
      <c r="S98" s="173"/>
      <c r="T98" s="173">
        <f t="shared" ref="T98:V98" si="42">S98-S97</f>
        <v>0</v>
      </c>
      <c r="U98" s="182"/>
      <c r="V98" s="173">
        <f t="shared" si="42"/>
        <v>0</v>
      </c>
      <c r="W98" s="30" t="s">
        <v>382</v>
      </c>
      <c r="X98" s="182"/>
      <c r="Y98" s="174">
        <f t="shared" si="1"/>
        <v>0</v>
      </c>
      <c r="Z98" s="185">
        <v>219.76</v>
      </c>
      <c r="AA98" s="173">
        <f t="shared" si="3"/>
        <v>219.76</v>
      </c>
      <c r="AB98" s="182"/>
      <c r="AC98" s="174">
        <f t="shared" si="3"/>
        <v>0</v>
      </c>
      <c r="AD98" s="173"/>
      <c r="AE98" s="174">
        <f t="shared" ref="AE98" si="43">AD98-AD97</f>
        <v>0</v>
      </c>
    </row>
    <row r="99" spans="1:31" x14ac:dyDescent="0.35">
      <c r="A99" s="12" t="s">
        <v>363</v>
      </c>
      <c r="B99" s="13" t="s">
        <v>600</v>
      </c>
      <c r="C99" s="8">
        <v>360</v>
      </c>
      <c r="D99" s="8"/>
      <c r="E99" s="8"/>
      <c r="F99" s="8"/>
      <c r="G99" s="145"/>
      <c r="N99" s="30" t="s">
        <v>363</v>
      </c>
      <c r="O99" s="191">
        <v>163.06853146853101</v>
      </c>
      <c r="P99" s="192">
        <f t="shared" si="0"/>
        <v>1.7409440559439986</v>
      </c>
      <c r="Q99" s="191"/>
      <c r="R99" s="193">
        <f t="shared" ref="R99" si="44">Q99-Q98</f>
        <v>0</v>
      </c>
      <c r="S99" s="194"/>
      <c r="T99" s="194">
        <f t="shared" ref="T99:V99" si="45">S99-S98</f>
        <v>0</v>
      </c>
      <c r="U99" s="191"/>
      <c r="V99" s="194">
        <f t="shared" si="45"/>
        <v>0</v>
      </c>
      <c r="W99" s="30" t="s">
        <v>363</v>
      </c>
      <c r="X99" s="195">
        <v>204.8</v>
      </c>
      <c r="Y99" s="192">
        <f t="shared" si="1"/>
        <v>204.8</v>
      </c>
      <c r="Z99" s="196">
        <v>223.19</v>
      </c>
      <c r="AA99" s="185">
        <f t="shared" si="3"/>
        <v>3.4300000000000068</v>
      </c>
      <c r="AB99" s="181"/>
      <c r="AC99" s="174">
        <f t="shared" si="3"/>
        <v>0</v>
      </c>
      <c r="AD99" s="163"/>
      <c r="AE99" s="174">
        <f t="shared" ref="AE99" si="46">AD99-AD98</f>
        <v>0</v>
      </c>
    </row>
    <row r="100" spans="1:31" x14ac:dyDescent="0.35">
      <c r="A100" s="12" t="s">
        <v>383</v>
      </c>
      <c r="B100" s="13" t="s">
        <v>601</v>
      </c>
      <c r="C100" s="8">
        <v>370</v>
      </c>
      <c r="D100" s="8"/>
      <c r="E100" s="8"/>
      <c r="F100" s="8"/>
      <c r="G100" s="145"/>
      <c r="N100" s="30" t="s">
        <v>383</v>
      </c>
      <c r="O100" s="182">
        <v>164.809475524476</v>
      </c>
      <c r="P100" s="175">
        <f t="shared" si="0"/>
        <v>1.7409440559449934</v>
      </c>
      <c r="Q100" s="182"/>
      <c r="R100" s="174">
        <f t="shared" ref="R100" si="47">Q100-Q99</f>
        <v>0</v>
      </c>
      <c r="S100" s="173"/>
      <c r="T100" s="173">
        <f t="shared" ref="T100:V100" si="48">S100-S99</f>
        <v>0</v>
      </c>
      <c r="U100" s="182"/>
      <c r="V100" s="173">
        <f t="shared" si="48"/>
        <v>0</v>
      </c>
      <c r="W100" s="30" t="s">
        <v>383</v>
      </c>
      <c r="X100" s="181">
        <v>208.25</v>
      </c>
      <c r="Y100" s="175">
        <f t="shared" si="1"/>
        <v>3.4499999999999886</v>
      </c>
      <c r="Z100" s="163">
        <v>226.63</v>
      </c>
      <c r="AA100" s="185">
        <f t="shared" si="3"/>
        <v>3.4399999999999977</v>
      </c>
      <c r="AB100" s="181"/>
      <c r="AC100" s="174">
        <f t="shared" si="3"/>
        <v>0</v>
      </c>
      <c r="AD100" s="163"/>
      <c r="AE100" s="174">
        <f t="shared" ref="AE100" si="49">AD100-AD99</f>
        <v>0</v>
      </c>
    </row>
    <row r="101" spans="1:31" x14ac:dyDescent="0.35">
      <c r="A101" s="12" t="s">
        <v>364</v>
      </c>
      <c r="B101" s="13" t="s">
        <v>602</v>
      </c>
      <c r="C101" s="8">
        <v>380</v>
      </c>
      <c r="D101" s="8"/>
      <c r="E101" s="8"/>
      <c r="F101" s="8"/>
      <c r="G101" s="145"/>
      <c r="N101" s="30" t="s">
        <v>364</v>
      </c>
      <c r="O101" s="182">
        <v>166.55041958042</v>
      </c>
      <c r="P101" s="175">
        <f t="shared" si="0"/>
        <v>1.7409440559439986</v>
      </c>
      <c r="Q101" s="181">
        <v>186.14</v>
      </c>
      <c r="R101" s="174">
        <f t="shared" ref="R101" si="50">Q101-Q100</f>
        <v>186.14</v>
      </c>
      <c r="S101" s="163">
        <v>205.56</v>
      </c>
      <c r="T101" s="173">
        <f t="shared" ref="T101:V101" si="51">S101-S100</f>
        <v>205.56</v>
      </c>
      <c r="U101" s="181">
        <v>224.8</v>
      </c>
      <c r="V101" s="173">
        <f t="shared" si="51"/>
        <v>224.8</v>
      </c>
      <c r="W101" s="30" t="s">
        <v>364</v>
      </c>
      <c r="X101" s="181">
        <v>211.7</v>
      </c>
      <c r="Y101" s="175">
        <f t="shared" si="1"/>
        <v>3.4499999999999886</v>
      </c>
      <c r="Z101" s="163"/>
      <c r="AA101" s="173">
        <f t="shared" si="3"/>
        <v>-226.63</v>
      </c>
      <c r="AB101" s="181"/>
      <c r="AC101" s="174">
        <f t="shared" si="3"/>
        <v>0</v>
      </c>
      <c r="AD101" s="163"/>
      <c r="AE101" s="174">
        <f t="shared" ref="AE101" si="52">AD101-AD100</f>
        <v>0</v>
      </c>
    </row>
    <row r="102" spans="1:31" x14ac:dyDescent="0.35">
      <c r="A102" s="12" t="s">
        <v>384</v>
      </c>
      <c r="B102" s="13" t="s">
        <v>603</v>
      </c>
      <c r="C102" s="8">
        <v>390</v>
      </c>
      <c r="D102" s="8"/>
      <c r="E102" s="8"/>
      <c r="F102" s="8"/>
      <c r="G102" s="145"/>
      <c r="N102" s="30" t="s">
        <v>384</v>
      </c>
      <c r="O102" s="182">
        <v>168.291363636364</v>
      </c>
      <c r="P102" s="175">
        <f t="shared" si="0"/>
        <v>1.7409440559439986</v>
      </c>
      <c r="Q102" s="181">
        <v>187.88</v>
      </c>
      <c r="R102" s="175">
        <f t="shared" ref="R102" si="53">Q102-Q101</f>
        <v>1.7400000000000091</v>
      </c>
      <c r="S102" s="163">
        <v>207.29</v>
      </c>
      <c r="T102" s="163">
        <f>S102-S101</f>
        <v>1.7299999999999898</v>
      </c>
      <c r="U102" s="181">
        <v>226.54</v>
      </c>
      <c r="V102" s="163">
        <f t="shared" ref="V102" si="54">U102-U101</f>
        <v>1.7399999999999807</v>
      </c>
      <c r="W102" s="30" t="s">
        <v>384</v>
      </c>
      <c r="X102" s="181">
        <v>215.15</v>
      </c>
      <c r="Y102" s="175">
        <f t="shared" si="1"/>
        <v>3.4500000000000171</v>
      </c>
      <c r="Z102" s="163"/>
      <c r="AA102" s="173">
        <f t="shared" si="3"/>
        <v>0</v>
      </c>
      <c r="AB102" s="181"/>
      <c r="AC102" s="174">
        <f t="shared" si="3"/>
        <v>0</v>
      </c>
      <c r="AD102" s="163"/>
      <c r="AE102" s="174">
        <f t="shared" ref="AE102" si="55">AD102-AD101</f>
        <v>0</v>
      </c>
    </row>
    <row r="103" spans="1:31" x14ac:dyDescent="0.35">
      <c r="A103" s="12" t="s">
        <v>365</v>
      </c>
      <c r="B103" s="13" t="s">
        <v>604</v>
      </c>
      <c r="C103" s="8">
        <v>400</v>
      </c>
      <c r="D103" s="8"/>
      <c r="E103" s="8"/>
      <c r="F103" s="8"/>
      <c r="G103" s="145"/>
      <c r="N103" s="30" t="s">
        <v>365</v>
      </c>
      <c r="O103" s="1">
        <v>170.03</v>
      </c>
      <c r="P103" s="2">
        <f t="shared" si="0"/>
        <v>1.7386363636360045</v>
      </c>
      <c r="Q103" s="181">
        <v>189.62</v>
      </c>
      <c r="R103" s="175">
        <f t="shared" ref="R103" si="56">Q103-Q102</f>
        <v>1.7400000000000091</v>
      </c>
      <c r="S103" s="163">
        <v>209.03</v>
      </c>
      <c r="T103" s="163">
        <f>S103-S102</f>
        <v>1.7400000000000091</v>
      </c>
      <c r="U103" s="1">
        <v>228.28</v>
      </c>
      <c r="V103" s="163">
        <f t="shared" ref="V103" si="57">U103-U102</f>
        <v>1.7400000000000091</v>
      </c>
      <c r="W103" s="30" t="s">
        <v>365</v>
      </c>
      <c r="X103" s="1">
        <v>218.6</v>
      </c>
      <c r="Y103" s="2">
        <f t="shared" si="1"/>
        <v>3.4499999999999886</v>
      </c>
      <c r="Z103" s="4"/>
      <c r="AA103" s="173">
        <f t="shared" si="3"/>
        <v>0</v>
      </c>
      <c r="AB103" s="1"/>
      <c r="AC103" s="174">
        <f t="shared" si="3"/>
        <v>0</v>
      </c>
      <c r="AD103" s="4"/>
      <c r="AE103" s="174">
        <f t="shared" ref="AE103" si="58">AD103-AD102</f>
        <v>0</v>
      </c>
    </row>
    <row r="104" spans="1:31" x14ac:dyDescent="0.35">
      <c r="A104" s="12" t="s">
        <v>385</v>
      </c>
      <c r="B104" s="13" t="s">
        <v>605</v>
      </c>
      <c r="C104" s="8">
        <v>410</v>
      </c>
      <c r="D104" s="8"/>
      <c r="E104" s="8"/>
      <c r="F104" s="8"/>
      <c r="G104" s="145"/>
      <c r="N104" s="30" t="s">
        <v>385</v>
      </c>
      <c r="O104" s="1">
        <v>171.77</v>
      </c>
      <c r="P104" s="2">
        <f t="shared" si="0"/>
        <v>1.7400000000000091</v>
      </c>
      <c r="Q104" s="1"/>
      <c r="R104" s="174">
        <f t="shared" ref="R104" si="59">Q104-Q103</f>
        <v>-189.62</v>
      </c>
      <c r="S104" s="4"/>
      <c r="T104" s="173">
        <f t="shared" ref="T104:V104" si="60">S104-S103</f>
        <v>-209.03</v>
      </c>
      <c r="U104" s="1"/>
      <c r="V104" s="173">
        <f t="shared" si="60"/>
        <v>-228.28</v>
      </c>
      <c r="W104" s="30" t="s">
        <v>385</v>
      </c>
      <c r="X104" s="1"/>
      <c r="Y104" s="2">
        <f t="shared" si="1"/>
        <v>-218.6</v>
      </c>
      <c r="Z104" s="4"/>
      <c r="AA104" s="173">
        <f t="shared" si="3"/>
        <v>0</v>
      </c>
      <c r="AB104" s="1"/>
      <c r="AC104" s="174">
        <f t="shared" si="3"/>
        <v>0</v>
      </c>
      <c r="AD104" s="4"/>
      <c r="AE104" s="174">
        <f t="shared" ref="AE104" si="61">AD104-AD103</f>
        <v>0</v>
      </c>
    </row>
    <row r="105" spans="1:31" x14ac:dyDescent="0.35">
      <c r="A105" s="12" t="s">
        <v>366</v>
      </c>
      <c r="B105" s="13" t="s">
        <v>606</v>
      </c>
      <c r="C105" s="8">
        <v>420</v>
      </c>
      <c r="D105" s="8"/>
      <c r="E105" s="8"/>
      <c r="F105" s="8"/>
      <c r="G105" s="145"/>
      <c r="N105" s="30" t="s">
        <v>366</v>
      </c>
      <c r="O105" s="1">
        <v>173.51</v>
      </c>
      <c r="P105" s="2">
        <f t="shared" si="0"/>
        <v>1.7399999999999807</v>
      </c>
      <c r="Q105" s="1"/>
      <c r="R105" s="174">
        <f t="shared" ref="R105" si="62">Q105-Q104</f>
        <v>0</v>
      </c>
      <c r="S105" s="4"/>
      <c r="T105" s="173">
        <f t="shared" ref="T105:V105" si="63">S105-S104</f>
        <v>0</v>
      </c>
      <c r="U105" s="1"/>
      <c r="V105" s="173">
        <f t="shared" si="63"/>
        <v>0</v>
      </c>
      <c r="W105" s="30" t="s">
        <v>366</v>
      </c>
      <c r="X105" s="1"/>
      <c r="Y105" s="2">
        <f t="shared" si="1"/>
        <v>0</v>
      </c>
      <c r="Z105" s="4"/>
      <c r="AA105" s="173">
        <f t="shared" si="3"/>
        <v>0</v>
      </c>
      <c r="AB105" s="1"/>
      <c r="AC105" s="174">
        <f t="shared" si="3"/>
        <v>0</v>
      </c>
      <c r="AD105" s="4"/>
      <c r="AE105" s="174">
        <f t="shared" ref="AE105" si="64">AD105-AD104</f>
        <v>0</v>
      </c>
    </row>
    <row r="106" spans="1:31" x14ac:dyDescent="0.35">
      <c r="A106" s="12" t="s">
        <v>387</v>
      </c>
      <c r="B106" s="13" t="s">
        <v>607</v>
      </c>
      <c r="C106" s="8">
        <v>430</v>
      </c>
      <c r="D106" s="8"/>
      <c r="E106" s="8"/>
      <c r="F106" s="8"/>
      <c r="G106" s="145"/>
      <c r="N106" s="30" t="s">
        <v>387</v>
      </c>
      <c r="O106" s="1">
        <v>175.26</v>
      </c>
      <c r="P106" s="2">
        <f t="shared" si="0"/>
        <v>1.75</v>
      </c>
      <c r="Q106" s="1"/>
      <c r="R106" s="174">
        <f t="shared" ref="R106" si="65">Q106-Q105</f>
        <v>0</v>
      </c>
      <c r="S106" s="4"/>
      <c r="T106" s="173">
        <f t="shared" ref="T106:V106" si="66">S106-S105</f>
        <v>0</v>
      </c>
      <c r="U106" s="1"/>
      <c r="V106" s="173">
        <f t="shared" si="66"/>
        <v>0</v>
      </c>
      <c r="W106" s="30" t="s">
        <v>387</v>
      </c>
      <c r="X106" s="1"/>
      <c r="Y106" s="2">
        <f t="shared" si="1"/>
        <v>0</v>
      </c>
      <c r="Z106" s="4"/>
      <c r="AA106" s="173">
        <f t="shared" si="3"/>
        <v>0</v>
      </c>
      <c r="AB106" s="1"/>
      <c r="AC106" s="174">
        <f t="shared" si="3"/>
        <v>0</v>
      </c>
      <c r="AD106" s="4"/>
      <c r="AE106" s="174">
        <f t="shared" ref="AE106" si="67">AD106-AD105</f>
        <v>0</v>
      </c>
    </row>
    <row r="107" spans="1:31" x14ac:dyDescent="0.35">
      <c r="A107" s="12" t="s">
        <v>367</v>
      </c>
      <c r="B107" s="13" t="s">
        <v>608</v>
      </c>
      <c r="C107" s="8">
        <v>440</v>
      </c>
      <c r="D107" s="8"/>
      <c r="E107" s="8"/>
      <c r="F107" s="8"/>
      <c r="G107" s="145"/>
      <c r="N107" s="30" t="s">
        <v>367</v>
      </c>
      <c r="O107" s="1">
        <v>177</v>
      </c>
      <c r="P107" s="2">
        <f t="shared" si="0"/>
        <v>1.7400000000000091</v>
      </c>
      <c r="Q107" s="1"/>
      <c r="R107" s="174">
        <f t="shared" ref="R107" si="68">Q107-Q106</f>
        <v>0</v>
      </c>
      <c r="S107" s="4"/>
      <c r="T107" s="173">
        <f t="shared" ref="T107:V107" si="69">S107-S106</f>
        <v>0</v>
      </c>
      <c r="U107" s="1"/>
      <c r="V107" s="173">
        <f t="shared" si="69"/>
        <v>0</v>
      </c>
      <c r="W107" s="30" t="s">
        <v>367</v>
      </c>
      <c r="X107" s="1"/>
      <c r="Y107" s="2">
        <f t="shared" si="1"/>
        <v>0</v>
      </c>
      <c r="Z107" s="4"/>
      <c r="AA107" s="173">
        <f t="shared" si="3"/>
        <v>0</v>
      </c>
      <c r="AB107" s="1"/>
      <c r="AC107" s="174">
        <f t="shared" si="3"/>
        <v>0</v>
      </c>
      <c r="AD107" s="4"/>
      <c r="AE107" s="174">
        <f t="shared" ref="AE107" si="70">AD107-AD106</f>
        <v>0</v>
      </c>
    </row>
    <row r="108" spans="1:31" x14ac:dyDescent="0.35">
      <c r="A108" s="12" t="s">
        <v>390</v>
      </c>
      <c r="B108" s="13" t="s">
        <v>609</v>
      </c>
      <c r="C108" s="8">
        <v>450</v>
      </c>
      <c r="D108" s="8"/>
      <c r="E108" s="8"/>
      <c r="F108" s="8"/>
      <c r="G108" s="145"/>
      <c r="N108" s="30" t="s">
        <v>390</v>
      </c>
      <c r="O108" s="1">
        <v>178.74</v>
      </c>
      <c r="P108" s="2">
        <f t="shared" si="0"/>
        <v>1.7400000000000091</v>
      </c>
      <c r="Q108" s="1"/>
      <c r="R108" s="174">
        <f t="shared" ref="R108" si="71">Q108-Q107</f>
        <v>0</v>
      </c>
      <c r="S108" s="4"/>
      <c r="T108" s="173">
        <f t="shared" ref="T108:V108" si="72">S108-S107</f>
        <v>0</v>
      </c>
      <c r="U108" s="1"/>
      <c r="V108" s="173">
        <f t="shared" si="72"/>
        <v>0</v>
      </c>
      <c r="W108" s="30" t="s">
        <v>390</v>
      </c>
      <c r="X108" s="1"/>
      <c r="Y108" s="2">
        <f t="shared" si="1"/>
        <v>0</v>
      </c>
      <c r="Z108" s="4">
        <v>254.07</v>
      </c>
      <c r="AA108" s="173">
        <f t="shared" si="3"/>
        <v>254.07</v>
      </c>
      <c r="AB108" s="1"/>
      <c r="AC108" s="174">
        <f t="shared" si="3"/>
        <v>0</v>
      </c>
      <c r="AD108" s="4"/>
      <c r="AE108" s="174">
        <f t="shared" ref="AE108" si="73">AD108-AD107</f>
        <v>0</v>
      </c>
    </row>
    <row r="109" spans="1:31" x14ac:dyDescent="0.35">
      <c r="A109" s="12" t="s">
        <v>368</v>
      </c>
      <c r="B109" s="13" t="s">
        <v>610</v>
      </c>
      <c r="C109" s="8">
        <v>460</v>
      </c>
      <c r="D109" s="8"/>
      <c r="E109" s="8"/>
      <c r="F109" s="8"/>
      <c r="G109" s="145"/>
      <c r="N109" s="30" t="s">
        <v>368</v>
      </c>
      <c r="O109" s="1">
        <v>180.48</v>
      </c>
      <c r="P109" s="2">
        <f t="shared" si="0"/>
        <v>1.7399999999999807</v>
      </c>
      <c r="Q109" s="1"/>
      <c r="R109" s="174">
        <f t="shared" ref="R109" si="74">Q109-Q108</f>
        <v>0</v>
      </c>
      <c r="S109" s="4"/>
      <c r="T109" s="173">
        <f t="shared" ref="T109:V109" si="75">S109-S108</f>
        <v>0</v>
      </c>
      <c r="U109" s="1"/>
      <c r="V109" s="173">
        <f t="shared" si="75"/>
        <v>0</v>
      </c>
      <c r="W109" s="30" t="s">
        <v>368</v>
      </c>
      <c r="X109" s="1"/>
      <c r="Y109" s="2">
        <f t="shared" si="1"/>
        <v>0</v>
      </c>
      <c r="Z109" s="4">
        <v>257.5</v>
      </c>
      <c r="AA109" s="185">
        <f t="shared" si="3"/>
        <v>3.4300000000000068</v>
      </c>
      <c r="AB109" s="1"/>
      <c r="AC109" s="174">
        <f t="shared" si="3"/>
        <v>0</v>
      </c>
      <c r="AD109" s="4"/>
      <c r="AE109" s="174">
        <f t="shared" ref="AE109" si="76">AD109-AD108</f>
        <v>0</v>
      </c>
    </row>
    <row r="110" spans="1:31" x14ac:dyDescent="0.35">
      <c r="A110" s="12" t="s">
        <v>392</v>
      </c>
      <c r="B110" s="13" t="s">
        <v>611</v>
      </c>
      <c r="C110" s="8">
        <v>470</v>
      </c>
      <c r="D110" s="8"/>
      <c r="E110" s="8"/>
      <c r="F110" s="8"/>
      <c r="G110" s="145"/>
      <c r="N110" s="30" t="s">
        <v>392</v>
      </c>
      <c r="O110" s="1">
        <v>182.22</v>
      </c>
      <c r="P110" s="2">
        <f t="shared" si="0"/>
        <v>1.7400000000000091</v>
      </c>
      <c r="Q110" s="1"/>
      <c r="R110" s="174">
        <f t="shared" ref="R110" si="77">Q110-Q109</f>
        <v>0</v>
      </c>
      <c r="S110" s="4"/>
      <c r="T110" s="173">
        <f t="shared" ref="T110:V110" si="78">S110-S109</f>
        <v>0</v>
      </c>
      <c r="U110" s="1"/>
      <c r="V110" s="173">
        <f t="shared" si="78"/>
        <v>0</v>
      </c>
      <c r="W110" s="30" t="s">
        <v>392</v>
      </c>
      <c r="X110" s="1"/>
      <c r="Y110" s="2">
        <f t="shared" si="1"/>
        <v>0</v>
      </c>
      <c r="Z110" s="4">
        <v>260.92</v>
      </c>
      <c r="AA110" s="185">
        <f t="shared" si="3"/>
        <v>3.4200000000000159</v>
      </c>
      <c r="AB110" s="1"/>
      <c r="AC110" s="174">
        <f t="shared" si="3"/>
        <v>0</v>
      </c>
      <c r="AD110" s="4"/>
      <c r="AE110" s="174">
        <f t="shared" ref="AE110" si="79">AD110-AD109</f>
        <v>0</v>
      </c>
    </row>
    <row r="111" spans="1:31" x14ac:dyDescent="0.35">
      <c r="A111" s="12" t="s">
        <v>369</v>
      </c>
      <c r="B111" s="13" t="s">
        <v>612</v>
      </c>
      <c r="C111" s="8">
        <v>480</v>
      </c>
      <c r="D111" s="8"/>
      <c r="E111" s="8"/>
      <c r="F111" s="8"/>
      <c r="G111" s="145"/>
      <c r="N111" s="30" t="s">
        <v>369</v>
      </c>
      <c r="O111" s="1">
        <v>183.96</v>
      </c>
      <c r="P111" s="2">
        <f t="shared" si="0"/>
        <v>1.7400000000000091</v>
      </c>
      <c r="Q111" s="1">
        <v>203.51</v>
      </c>
      <c r="R111" s="174">
        <f t="shared" ref="R111" si="80">Q111-Q110</f>
        <v>203.51</v>
      </c>
      <c r="S111" s="4"/>
      <c r="T111" s="173">
        <f t="shared" ref="T111:V111" si="81">S111-S110</f>
        <v>0</v>
      </c>
      <c r="U111" s="1"/>
      <c r="V111" s="173">
        <f t="shared" si="81"/>
        <v>0</v>
      </c>
      <c r="W111" s="30" t="s">
        <v>369</v>
      </c>
      <c r="X111" s="1">
        <v>246.14</v>
      </c>
      <c r="Y111" s="2">
        <f t="shared" si="1"/>
        <v>246.14</v>
      </c>
      <c r="Z111" s="8">
        <v>264.35000000000002</v>
      </c>
      <c r="AA111" s="185">
        <f t="shared" si="3"/>
        <v>3.4300000000000068</v>
      </c>
      <c r="AB111" s="30"/>
      <c r="AC111" s="174">
        <f t="shared" si="3"/>
        <v>0</v>
      </c>
      <c r="AD111" s="4"/>
      <c r="AE111" s="174">
        <f t="shared" ref="AE111" si="82">AD111-AD110</f>
        <v>0</v>
      </c>
    </row>
    <row r="112" spans="1:31" x14ac:dyDescent="0.35">
      <c r="A112" s="12" t="s">
        <v>396</v>
      </c>
      <c r="B112" s="13" t="s">
        <v>613</v>
      </c>
      <c r="C112" s="8">
        <v>490</v>
      </c>
      <c r="D112" s="8"/>
      <c r="E112" s="8"/>
      <c r="F112" s="8"/>
      <c r="G112" s="145"/>
      <c r="N112" s="30" t="s">
        <v>396</v>
      </c>
      <c r="O112" s="1">
        <v>185.7</v>
      </c>
      <c r="P112" s="2">
        <f t="shared" si="0"/>
        <v>1.7399999999999807</v>
      </c>
      <c r="Q112" s="1">
        <v>205.25</v>
      </c>
      <c r="R112" s="175">
        <f t="shared" ref="R112" si="83">Q112-Q111</f>
        <v>1.7400000000000091</v>
      </c>
      <c r="S112" s="4">
        <v>224.66</v>
      </c>
      <c r="T112" s="173">
        <f t="shared" ref="T112:V112" si="84">S112-S111</f>
        <v>224.66</v>
      </c>
      <c r="U112" s="1">
        <v>243.94</v>
      </c>
      <c r="V112" s="173">
        <f t="shared" si="84"/>
        <v>243.94</v>
      </c>
      <c r="W112" s="30" t="s">
        <v>396</v>
      </c>
      <c r="X112" s="1">
        <v>249.58</v>
      </c>
      <c r="Y112" s="2">
        <f t="shared" si="1"/>
        <v>3.4400000000000261</v>
      </c>
      <c r="Z112" s="8">
        <v>267.77999999999997</v>
      </c>
      <c r="AA112" s="185">
        <f t="shared" si="3"/>
        <v>3.42999999999995</v>
      </c>
      <c r="AB112" s="30"/>
      <c r="AC112" s="174">
        <f t="shared" si="3"/>
        <v>0</v>
      </c>
      <c r="AD112" s="4"/>
      <c r="AE112" s="174">
        <f t="shared" ref="AE112" si="85">AD112-AD111</f>
        <v>0</v>
      </c>
    </row>
    <row r="113" spans="1:31" x14ac:dyDescent="0.35">
      <c r="A113" s="12" t="s">
        <v>370</v>
      </c>
      <c r="B113" s="13" t="s">
        <v>614</v>
      </c>
      <c r="C113" s="8">
        <v>500</v>
      </c>
      <c r="D113" s="8"/>
      <c r="E113" s="8"/>
      <c r="F113" s="8"/>
      <c r="G113" s="145"/>
      <c r="N113" s="30" t="s">
        <v>370</v>
      </c>
      <c r="O113" s="1">
        <v>187.44</v>
      </c>
      <c r="P113" s="2">
        <f t="shared" si="0"/>
        <v>1.7400000000000091</v>
      </c>
      <c r="Q113" s="1">
        <v>206.99</v>
      </c>
      <c r="R113" s="175">
        <f>Q113-Q112</f>
        <v>1.7400000000000091</v>
      </c>
      <c r="S113" s="4">
        <v>226.4</v>
      </c>
      <c r="T113" s="163">
        <f>S113-S112</f>
        <v>1.7400000000000091</v>
      </c>
      <c r="U113" s="30">
        <v>245.67</v>
      </c>
      <c r="V113" s="163">
        <f>U113-U112</f>
        <v>1.7299999999999898</v>
      </c>
      <c r="W113" s="30" t="s">
        <v>370</v>
      </c>
      <c r="X113" s="1">
        <v>253.02</v>
      </c>
      <c r="Y113" s="2">
        <f t="shared" si="1"/>
        <v>3.4399999999999977</v>
      </c>
      <c r="Z113" s="4">
        <v>271.20999999999998</v>
      </c>
      <c r="AA113" s="185">
        <f>Z113-Z112</f>
        <v>3.4300000000000068</v>
      </c>
      <c r="AB113" s="1">
        <v>289.14999999999998</v>
      </c>
      <c r="AC113" s="174">
        <f>AB113-AB112</f>
        <v>289.14999999999998</v>
      </c>
      <c r="AD113" s="4">
        <v>306.85000000000002</v>
      </c>
      <c r="AE113" s="174">
        <f>AD113-AD112</f>
        <v>306.85000000000002</v>
      </c>
    </row>
    <row r="114" spans="1:31" x14ac:dyDescent="0.35">
      <c r="A114" s="12" t="s">
        <v>587</v>
      </c>
      <c r="B114" s="13" t="s">
        <v>615</v>
      </c>
      <c r="C114" s="8">
        <v>510</v>
      </c>
      <c r="D114" s="8"/>
      <c r="E114" s="8"/>
      <c r="F114" s="8"/>
      <c r="G114" s="145"/>
      <c r="N114" s="30" t="s">
        <v>587</v>
      </c>
      <c r="O114" s="1">
        <v>189.18</v>
      </c>
      <c r="P114" s="2">
        <f t="shared" si="0"/>
        <v>1.7400000000000091</v>
      </c>
      <c r="Q114" s="1">
        <v>208.72</v>
      </c>
      <c r="R114" s="175">
        <f>Q114-Q113</f>
        <v>1.7299999999999898</v>
      </c>
      <c r="S114" s="4">
        <v>228.13</v>
      </c>
      <c r="T114" s="163">
        <f>S114-S113</f>
        <v>1.7299999999999898</v>
      </c>
      <c r="U114" s="1">
        <v>247.41</v>
      </c>
      <c r="V114" s="163">
        <f>U114-U113</f>
        <v>1.7400000000000091</v>
      </c>
      <c r="W114" s="30" t="s">
        <v>587</v>
      </c>
      <c r="X114" s="30">
        <v>256.45999999999998</v>
      </c>
      <c r="Y114" s="2">
        <f t="shared" si="1"/>
        <v>3.4399999999999693</v>
      </c>
      <c r="Z114" s="4">
        <v>274.63</v>
      </c>
      <c r="AA114" s="163">
        <f>Z114-Z113</f>
        <v>3.4200000000000159</v>
      </c>
      <c r="AB114" s="1">
        <v>292.57</v>
      </c>
      <c r="AC114" s="175">
        <f>AB114-AB113</f>
        <v>3.4200000000000159</v>
      </c>
      <c r="AD114" s="8">
        <v>310.27</v>
      </c>
      <c r="AE114" s="175">
        <f>AD114-AD113</f>
        <v>3.4199999999999591</v>
      </c>
    </row>
    <row r="115" spans="1:31" x14ac:dyDescent="0.35">
      <c r="A115" s="367" t="s">
        <v>210</v>
      </c>
      <c r="B115" s="368"/>
      <c r="C115" s="169" t="s">
        <v>401</v>
      </c>
      <c r="D115" s="57" t="s">
        <v>475</v>
      </c>
      <c r="E115" s="57"/>
      <c r="F115" s="57"/>
      <c r="G115" s="162"/>
      <c r="N115" s="39" t="s">
        <v>634</v>
      </c>
      <c r="O115" s="39">
        <v>0</v>
      </c>
      <c r="P115" s="42"/>
      <c r="Q115" s="10">
        <f>Q116-O116</f>
        <v>19.769999999999982</v>
      </c>
      <c r="R115" s="10"/>
      <c r="S115" s="39">
        <f>S116-Q116</f>
        <v>19.439999999999998</v>
      </c>
      <c r="T115" s="42"/>
      <c r="U115" s="10">
        <f>U116-S116</f>
        <v>19.090000000000003</v>
      </c>
      <c r="V115" s="10"/>
      <c r="W115" s="39"/>
      <c r="X115" s="39">
        <v>0</v>
      </c>
      <c r="Y115" s="42"/>
      <c r="Z115" s="10">
        <f>Z116-X116</f>
        <v>19</v>
      </c>
      <c r="AA115" s="10"/>
      <c r="AB115" s="39">
        <f>AB116-Z116</f>
        <v>18.370000000000005</v>
      </c>
      <c r="AC115" s="42"/>
      <c r="AD115" s="10">
        <f>AD116-AB116</f>
        <v>17.759999999999991</v>
      </c>
      <c r="AE115" s="42"/>
    </row>
    <row r="116" spans="1:31" x14ac:dyDescent="0.35">
      <c r="A116" s="12" t="s">
        <v>1017</v>
      </c>
      <c r="B116" s="13" t="s">
        <v>616</v>
      </c>
      <c r="C116" s="8">
        <v>0</v>
      </c>
      <c r="D116" s="8">
        <v>90</v>
      </c>
      <c r="E116" s="8"/>
      <c r="F116" s="8"/>
      <c r="G116" s="145"/>
      <c r="O116">
        <f>O83+(1.74*31)</f>
        <v>189.02</v>
      </c>
      <c r="Q116">
        <f>Q83+(1.74*31)</f>
        <v>208.79</v>
      </c>
      <c r="S116">
        <f>S83+(1.74*31)</f>
        <v>228.23</v>
      </c>
      <c r="U116">
        <f>U83+(1.74*31)</f>
        <v>247.32</v>
      </c>
      <c r="W116" s="30" t="s">
        <v>641</v>
      </c>
      <c r="X116">
        <f>X83+(3.44*31)</f>
        <v>255.73000000000002</v>
      </c>
      <c r="Z116">
        <f>Z83+(3.44*31)</f>
        <v>274.73</v>
      </c>
      <c r="AB116">
        <f>AB83+(3.44*31)</f>
        <v>293.10000000000002</v>
      </c>
      <c r="AD116">
        <f>AD83+(3.44*31)</f>
        <v>310.86</v>
      </c>
    </row>
    <row r="117" spans="1:31" x14ac:dyDescent="0.35">
      <c r="A117" s="12" t="s">
        <v>1018</v>
      </c>
      <c r="B117" s="13" t="s">
        <v>617</v>
      </c>
      <c r="C117" s="8">
        <v>0</v>
      </c>
      <c r="D117" s="200">
        <v>90</v>
      </c>
      <c r="E117" s="8"/>
      <c r="F117" s="8"/>
      <c r="G117" s="145"/>
      <c r="R117">
        <f>Q115-Z115</f>
        <v>0.76999999999998181</v>
      </c>
      <c r="T117">
        <f>S115-AB115</f>
        <v>1.0699999999999932</v>
      </c>
      <c r="V117">
        <f>U115-AD115</f>
        <v>1.3300000000000125</v>
      </c>
    </row>
    <row r="118" spans="1:31" x14ac:dyDescent="0.35">
      <c r="A118" s="12" t="s">
        <v>618</v>
      </c>
      <c r="B118" s="13" t="s">
        <v>623</v>
      </c>
      <c r="C118" s="8">
        <v>20</v>
      </c>
      <c r="D118" s="8">
        <v>82</v>
      </c>
      <c r="E118" s="8"/>
      <c r="F118" s="8"/>
      <c r="G118" s="145"/>
      <c r="O118" s="189">
        <v>1.74</v>
      </c>
      <c r="P118" t="s">
        <v>643</v>
      </c>
      <c r="X118" s="190">
        <v>3.44</v>
      </c>
      <c r="Y118" t="s">
        <v>642</v>
      </c>
    </row>
    <row r="119" spans="1:31" x14ac:dyDescent="0.35">
      <c r="A119" s="12" t="s">
        <v>619</v>
      </c>
      <c r="B119" s="13" t="s">
        <v>624</v>
      </c>
      <c r="C119" s="8">
        <v>20</v>
      </c>
      <c r="D119" s="8">
        <v>86</v>
      </c>
      <c r="E119" s="8"/>
      <c r="F119" s="8"/>
      <c r="G119" s="145"/>
    </row>
    <row r="120" spans="1:31" x14ac:dyDescent="0.35">
      <c r="A120" s="12" t="s">
        <v>620</v>
      </c>
      <c r="B120" s="13" t="s">
        <v>625</v>
      </c>
      <c r="C120" s="8">
        <v>0</v>
      </c>
      <c r="D120" s="8">
        <v>90</v>
      </c>
      <c r="E120" s="8"/>
      <c r="F120" s="8"/>
      <c r="G120" s="145"/>
    </row>
    <row r="121" spans="1:31" x14ac:dyDescent="0.35">
      <c r="A121" s="12" t="s">
        <v>473</v>
      </c>
      <c r="B121" s="13" t="s">
        <v>626</v>
      </c>
      <c r="C121" s="8">
        <v>0</v>
      </c>
      <c r="D121" s="8">
        <v>94</v>
      </c>
      <c r="E121" s="8"/>
      <c r="F121" s="8"/>
      <c r="G121" s="145"/>
      <c r="V121">
        <f>O116+(19.77+19.44+19.09)</f>
        <v>247.32</v>
      </c>
    </row>
    <row r="122" spans="1:31" x14ac:dyDescent="0.35">
      <c r="A122" s="12" t="s">
        <v>621</v>
      </c>
      <c r="B122" s="13" t="s">
        <v>627</v>
      </c>
      <c r="C122" s="8">
        <v>0</v>
      </c>
      <c r="D122" s="8">
        <v>98</v>
      </c>
      <c r="E122" s="8"/>
      <c r="F122" s="8"/>
      <c r="G122" s="145"/>
    </row>
    <row r="123" spans="1:31" x14ac:dyDescent="0.35">
      <c r="A123" s="12" t="s">
        <v>622</v>
      </c>
      <c r="B123" s="13" t="s">
        <v>628</v>
      </c>
      <c r="C123" s="8">
        <v>0</v>
      </c>
      <c r="D123" s="8">
        <v>102</v>
      </c>
      <c r="E123" s="8"/>
      <c r="F123" s="8"/>
      <c r="G123" s="145"/>
    </row>
    <row r="124" spans="1:31" x14ac:dyDescent="0.35">
      <c r="A124" s="350" t="s">
        <v>467</v>
      </c>
      <c r="B124" s="351"/>
      <c r="C124" s="23" t="s">
        <v>480</v>
      </c>
      <c r="D124" s="57"/>
      <c r="E124" s="57"/>
      <c r="F124" s="57"/>
      <c r="G124" s="162"/>
    </row>
    <row r="125" spans="1:31" x14ac:dyDescent="0.35">
      <c r="A125" s="29" t="s">
        <v>1019</v>
      </c>
      <c r="B125" s="29" t="s">
        <v>653</v>
      </c>
      <c r="C125" s="1">
        <f>10-5</f>
        <v>5</v>
      </c>
      <c r="D125" s="8"/>
      <c r="E125" s="8"/>
      <c r="F125" s="8"/>
      <c r="G125" s="277"/>
    </row>
    <row r="126" spans="1:31" x14ac:dyDescent="0.35">
      <c r="A126" s="29" t="s">
        <v>1020</v>
      </c>
      <c r="B126" s="29" t="s">
        <v>654</v>
      </c>
      <c r="C126" s="1">
        <f>30-5</f>
        <v>25</v>
      </c>
      <c r="D126" s="8"/>
      <c r="E126" s="8"/>
      <c r="F126" s="8"/>
      <c r="G126" s="277"/>
    </row>
    <row r="127" spans="1:31" x14ac:dyDescent="0.35">
      <c r="A127" s="29" t="s">
        <v>1021</v>
      </c>
      <c r="B127" s="29" t="s">
        <v>655</v>
      </c>
      <c r="C127" s="1">
        <f>30-5</f>
        <v>25</v>
      </c>
      <c r="D127" s="8"/>
      <c r="E127" s="8"/>
      <c r="F127" s="8"/>
      <c r="G127" s="277"/>
    </row>
    <row r="128" spans="1:31" x14ac:dyDescent="0.35">
      <c r="A128" s="34" t="s">
        <v>1022</v>
      </c>
      <c r="B128" s="29" t="s">
        <v>656</v>
      </c>
      <c r="C128" s="120">
        <f>25-5</f>
        <v>20</v>
      </c>
      <c r="D128" s="10"/>
      <c r="E128" s="10"/>
      <c r="F128" s="10"/>
      <c r="G128" s="278"/>
    </row>
    <row r="129" spans="1:25" x14ac:dyDescent="0.35">
      <c r="A129" s="350" t="s">
        <v>845</v>
      </c>
      <c r="B129" s="351"/>
      <c r="C129" s="23"/>
      <c r="D129" s="57"/>
      <c r="E129" s="57"/>
      <c r="F129" s="57"/>
      <c r="G129" s="162"/>
    </row>
    <row r="130" spans="1:25" x14ac:dyDescent="0.35">
      <c r="A130" s="292" t="s">
        <v>1024</v>
      </c>
      <c r="B130" s="64" t="s">
        <v>846</v>
      </c>
      <c r="C130" s="1">
        <v>0</v>
      </c>
      <c r="D130" s="8"/>
      <c r="E130" s="8"/>
      <c r="F130" s="8"/>
      <c r="G130" s="277"/>
    </row>
    <row r="131" spans="1:25" x14ac:dyDescent="0.35">
      <c r="A131" s="293" t="s">
        <v>1023</v>
      </c>
      <c r="B131" s="64" t="s">
        <v>847</v>
      </c>
      <c r="C131" s="1">
        <v>0</v>
      </c>
      <c r="D131" s="8"/>
      <c r="E131" s="8"/>
      <c r="F131" s="8"/>
      <c r="G131" s="277"/>
    </row>
    <row r="132" spans="1:25" x14ac:dyDescent="0.35">
      <c r="A132" s="293" t="s">
        <v>1025</v>
      </c>
      <c r="B132" s="64" t="s">
        <v>848</v>
      </c>
      <c r="C132" s="120">
        <v>0</v>
      </c>
      <c r="D132" s="10"/>
      <c r="E132" s="10"/>
      <c r="F132" s="10"/>
      <c r="G132" s="278"/>
    </row>
    <row r="133" spans="1:25" x14ac:dyDescent="0.35">
      <c r="A133" s="367" t="s">
        <v>26</v>
      </c>
      <c r="B133" s="368"/>
      <c r="C133" s="6" t="s">
        <v>59</v>
      </c>
      <c r="D133" s="6"/>
      <c r="E133" s="6"/>
      <c r="F133" s="6"/>
      <c r="G133" s="7"/>
    </row>
    <row r="134" spans="1:25" x14ac:dyDescent="0.35">
      <c r="A134" s="12" t="s">
        <v>1026</v>
      </c>
      <c r="B134" s="13" t="s">
        <v>27</v>
      </c>
      <c r="C134" s="8">
        <f>10+10</f>
        <v>20</v>
      </c>
      <c r="D134" s="8"/>
      <c r="E134" s="8"/>
      <c r="F134" s="8"/>
      <c r="G134" s="365" t="s">
        <v>52</v>
      </c>
    </row>
    <row r="135" spans="1:25" x14ac:dyDescent="0.35">
      <c r="A135" s="14" t="s">
        <v>1027</v>
      </c>
      <c r="B135" s="15" t="s">
        <v>28</v>
      </c>
      <c r="C135" s="10">
        <f>0</f>
        <v>0</v>
      </c>
      <c r="D135" s="10"/>
      <c r="E135" s="10"/>
      <c r="F135" s="10"/>
      <c r="G135" s="366"/>
    </row>
    <row r="136" spans="1:25" x14ac:dyDescent="0.35">
      <c r="A136" s="367" t="s">
        <v>38</v>
      </c>
      <c r="B136" s="368"/>
      <c r="C136" s="6" t="s">
        <v>60</v>
      </c>
      <c r="D136" s="6"/>
      <c r="E136" s="6"/>
      <c r="F136" s="6"/>
      <c r="G136" s="7"/>
    </row>
    <row r="137" spans="1:25" x14ac:dyDescent="0.35">
      <c r="A137" s="12" t="s">
        <v>1028</v>
      </c>
      <c r="B137" s="13" t="s">
        <v>41</v>
      </c>
      <c r="C137" s="8">
        <f>((53/2)+3)*2</f>
        <v>59</v>
      </c>
      <c r="D137" s="8"/>
      <c r="E137" s="8"/>
      <c r="F137" s="8"/>
      <c r="G137" s="365" t="s">
        <v>53</v>
      </c>
    </row>
    <row r="138" spans="1:25" x14ac:dyDescent="0.35">
      <c r="A138" s="12" t="s">
        <v>39</v>
      </c>
      <c r="B138" s="13" t="s">
        <v>42</v>
      </c>
      <c r="C138" s="8">
        <f>(53/2)*2</f>
        <v>53</v>
      </c>
      <c r="D138" s="8"/>
      <c r="E138" s="8"/>
      <c r="F138" s="8"/>
      <c r="G138" s="365"/>
    </row>
    <row r="139" spans="1:25" x14ac:dyDescent="0.35">
      <c r="A139" s="12" t="s">
        <v>1029</v>
      </c>
      <c r="B139" s="13" t="s">
        <v>43</v>
      </c>
      <c r="C139" s="8">
        <f>(53/2)*2</f>
        <v>53</v>
      </c>
      <c r="D139" s="8"/>
      <c r="E139" s="8"/>
      <c r="F139" s="8"/>
      <c r="G139" s="365"/>
      <c r="S139" s="178" t="s">
        <v>637</v>
      </c>
      <c r="T139" s="178" t="s">
        <v>638</v>
      </c>
    </row>
    <row r="140" spans="1:25" x14ac:dyDescent="0.35">
      <c r="A140" s="14" t="s">
        <v>40</v>
      </c>
      <c r="B140" s="15" t="s">
        <v>44</v>
      </c>
      <c r="C140" s="10">
        <v>62</v>
      </c>
      <c r="D140" s="10"/>
      <c r="E140" s="10"/>
      <c r="F140" s="10"/>
      <c r="G140" s="366"/>
      <c r="S140" s="177">
        <v>1</v>
      </c>
      <c r="T140" s="176">
        <f>108-17.5-15</f>
        <v>75.5</v>
      </c>
    </row>
    <row r="141" spans="1:25" x14ac:dyDescent="0.35">
      <c r="A141" s="348" t="s">
        <v>45</v>
      </c>
      <c r="B141" s="349"/>
      <c r="C141" s="11" t="s">
        <v>61</v>
      </c>
      <c r="D141" s="11"/>
      <c r="E141" s="11"/>
      <c r="F141" s="11"/>
      <c r="G141" s="2"/>
      <c r="S141" s="177">
        <v>2</v>
      </c>
      <c r="T141" s="176">
        <f>108-37.5-15</f>
        <v>55.5</v>
      </c>
    </row>
    <row r="142" spans="1:25" x14ac:dyDescent="0.35">
      <c r="A142" s="12" t="s">
        <v>46</v>
      </c>
      <c r="B142" s="13" t="s">
        <v>48</v>
      </c>
      <c r="C142" s="8">
        <f>13.5*2</f>
        <v>27</v>
      </c>
      <c r="D142" s="25">
        <v>1</v>
      </c>
      <c r="E142" s="25"/>
      <c r="F142" s="25"/>
      <c r="G142" s="365" t="s">
        <v>54</v>
      </c>
      <c r="S142" s="177">
        <v>3</v>
      </c>
      <c r="T142" s="176">
        <f>108-57.5-15</f>
        <v>35.5</v>
      </c>
      <c r="Y142" s="9"/>
    </row>
    <row r="143" spans="1:25" x14ac:dyDescent="0.35">
      <c r="A143" s="12" t="s">
        <v>47</v>
      </c>
      <c r="B143" s="13" t="s">
        <v>49</v>
      </c>
      <c r="C143" s="8">
        <f>18*2</f>
        <v>36</v>
      </c>
      <c r="D143" s="26">
        <v>3</v>
      </c>
      <c r="E143" s="26"/>
      <c r="F143" s="26"/>
      <c r="G143" s="365"/>
      <c r="S143" s="177">
        <v>4</v>
      </c>
      <c r="T143" s="176">
        <f>108-77.5-15</f>
        <v>15.5</v>
      </c>
    </row>
    <row r="144" spans="1:25" x14ac:dyDescent="0.35">
      <c r="A144" s="367" t="s">
        <v>407</v>
      </c>
      <c r="B144" s="368"/>
      <c r="C144" s="57" t="s">
        <v>404</v>
      </c>
      <c r="D144" s="161"/>
      <c r="E144" s="161"/>
      <c r="F144" s="161"/>
      <c r="G144" s="162"/>
      <c r="S144" s="177">
        <v>5</v>
      </c>
      <c r="T144" s="176">
        <f>108-137.5-15</f>
        <v>-44.5</v>
      </c>
    </row>
    <row r="145" spans="1:20" x14ac:dyDescent="0.35">
      <c r="A145" s="78">
        <v>1</v>
      </c>
      <c r="B145" s="13" t="s">
        <v>487</v>
      </c>
      <c r="C145" s="8">
        <f>17.5+25</f>
        <v>42.5</v>
      </c>
      <c r="D145" s="163"/>
      <c r="E145" s="163"/>
      <c r="F145" s="163"/>
      <c r="G145" s="145"/>
      <c r="S145" s="177">
        <v>6</v>
      </c>
      <c r="T145" s="176">
        <f>108-157.5-15</f>
        <v>-64.5</v>
      </c>
    </row>
    <row r="146" spans="1:20" x14ac:dyDescent="0.35">
      <c r="A146" s="78">
        <v>2</v>
      </c>
      <c r="B146" s="13" t="s">
        <v>488</v>
      </c>
      <c r="C146" s="8">
        <f>37.5+25</f>
        <v>62.5</v>
      </c>
      <c r="D146" s="163"/>
      <c r="E146" s="163"/>
      <c r="F146" s="163"/>
      <c r="G146" s="145"/>
    </row>
    <row r="147" spans="1:20" x14ac:dyDescent="0.35">
      <c r="A147" s="78">
        <v>3</v>
      </c>
      <c r="B147" s="13" t="s">
        <v>489</v>
      </c>
      <c r="C147" s="8">
        <f>57.5+25</f>
        <v>82.5</v>
      </c>
      <c r="D147" s="163"/>
      <c r="E147" s="163"/>
      <c r="F147" s="163"/>
      <c r="G147" s="145"/>
    </row>
    <row r="148" spans="1:20" x14ac:dyDescent="0.35">
      <c r="A148" s="78">
        <v>4</v>
      </c>
      <c r="B148" s="13" t="s">
        <v>490</v>
      </c>
      <c r="C148" s="8">
        <f>77.5+25</f>
        <v>102.5</v>
      </c>
      <c r="D148" s="163"/>
      <c r="E148" s="163"/>
      <c r="F148" s="163"/>
      <c r="G148" s="145"/>
    </row>
    <row r="149" spans="1:20" x14ac:dyDescent="0.35">
      <c r="A149" s="78">
        <v>5</v>
      </c>
      <c r="B149" s="13" t="s">
        <v>491</v>
      </c>
      <c r="C149" s="8">
        <f>137.5+25</f>
        <v>162.5</v>
      </c>
      <c r="D149" s="163"/>
      <c r="E149" s="163"/>
      <c r="F149" s="163"/>
      <c r="G149" s="145"/>
    </row>
    <row r="150" spans="1:20" x14ac:dyDescent="0.35">
      <c r="A150" s="80">
        <v>6</v>
      </c>
      <c r="B150" s="15" t="s">
        <v>492</v>
      </c>
      <c r="C150" s="10">
        <f>157.5+25</f>
        <v>182.5</v>
      </c>
      <c r="D150" s="164"/>
      <c r="E150" s="164"/>
      <c r="F150" s="164"/>
      <c r="G150" s="146"/>
    </row>
    <row r="151" spans="1:20" x14ac:dyDescent="0.35">
      <c r="A151" s="367" t="s">
        <v>29</v>
      </c>
      <c r="B151" s="368"/>
      <c r="C151" s="6" t="s">
        <v>56</v>
      </c>
      <c r="D151" s="6"/>
      <c r="E151" s="6"/>
      <c r="F151" s="6"/>
      <c r="G151" s="7"/>
    </row>
    <row r="152" spans="1:20" x14ac:dyDescent="0.35">
      <c r="A152" s="12" t="s">
        <v>30</v>
      </c>
      <c r="B152" s="13" t="s">
        <v>34</v>
      </c>
      <c r="C152" s="8">
        <v>558.79999999999995</v>
      </c>
      <c r="D152" s="8"/>
      <c r="E152" s="8"/>
      <c r="F152" s="8"/>
      <c r="G152" s="373"/>
    </row>
    <row r="153" spans="1:20" x14ac:dyDescent="0.35">
      <c r="A153" s="12" t="s">
        <v>31</v>
      </c>
      <c r="B153" s="13" t="s">
        <v>35</v>
      </c>
      <c r="C153" s="8">
        <v>609.6</v>
      </c>
      <c r="D153" s="8"/>
      <c r="E153" s="8"/>
      <c r="F153" s="8"/>
      <c r="G153" s="373"/>
    </row>
    <row r="154" spans="1:20" x14ac:dyDescent="0.35">
      <c r="A154" s="12" t="s">
        <v>32</v>
      </c>
      <c r="B154" s="13" t="s">
        <v>36</v>
      </c>
      <c r="C154" s="8">
        <v>635</v>
      </c>
      <c r="D154" s="8"/>
      <c r="E154" s="8"/>
      <c r="F154" s="8"/>
      <c r="G154" s="373"/>
    </row>
    <row r="155" spans="1:20" x14ac:dyDescent="0.35">
      <c r="A155" s="14" t="s">
        <v>33</v>
      </c>
      <c r="B155" s="15" t="s">
        <v>37</v>
      </c>
      <c r="C155" s="10">
        <v>660.4</v>
      </c>
      <c r="D155" s="10"/>
      <c r="E155" s="10"/>
      <c r="F155" s="10"/>
      <c r="G155" s="374"/>
    </row>
    <row r="156" spans="1:20" x14ac:dyDescent="0.35">
      <c r="A156" s="348" t="s">
        <v>75</v>
      </c>
      <c r="B156" s="349"/>
      <c r="C156" s="375" t="s">
        <v>77</v>
      </c>
      <c r="D156" s="375"/>
      <c r="E156" s="375"/>
      <c r="F156" s="375"/>
      <c r="G156" s="376"/>
    </row>
    <row r="157" spans="1:20" x14ac:dyDescent="0.35">
      <c r="A157" s="28" t="s">
        <v>1030</v>
      </c>
      <c r="B157" s="13" t="s">
        <v>41</v>
      </c>
      <c r="C157" s="8">
        <v>86</v>
      </c>
      <c r="D157" s="8"/>
      <c r="E157" s="8"/>
      <c r="F157" s="8"/>
      <c r="G157" s="373" t="s">
        <v>76</v>
      </c>
    </row>
    <row r="158" spans="1:20" x14ac:dyDescent="0.35">
      <c r="A158" s="12" t="s">
        <v>1031</v>
      </c>
      <c r="B158" s="13" t="s">
        <v>62</v>
      </c>
      <c r="C158" s="8">
        <v>94</v>
      </c>
      <c r="D158" s="8"/>
      <c r="E158" s="8"/>
      <c r="F158" s="8"/>
      <c r="G158" s="373"/>
    </row>
    <row r="159" spans="1:20" x14ac:dyDescent="0.35">
      <c r="A159" s="12" t="s">
        <v>1032</v>
      </c>
      <c r="B159" s="13" t="s">
        <v>63</v>
      </c>
      <c r="C159" s="8">
        <f>45*2</f>
        <v>90</v>
      </c>
      <c r="D159" s="8"/>
      <c r="E159" s="8"/>
      <c r="F159" s="8"/>
      <c r="G159" s="373"/>
    </row>
    <row r="160" spans="1:20" x14ac:dyDescent="0.35">
      <c r="A160" s="12" t="s">
        <v>813</v>
      </c>
      <c r="B160" s="13" t="s">
        <v>64</v>
      </c>
      <c r="C160" s="8">
        <f>45*2</f>
        <v>90</v>
      </c>
      <c r="D160" s="8"/>
      <c r="E160" s="8"/>
      <c r="F160" s="8"/>
      <c r="G160" s="373"/>
    </row>
    <row r="161" spans="1:27" x14ac:dyDescent="0.35">
      <c r="A161" s="12" t="s">
        <v>73</v>
      </c>
      <c r="B161" s="13" t="s">
        <v>65</v>
      </c>
      <c r="C161" s="8">
        <v>94</v>
      </c>
      <c r="D161" s="8"/>
      <c r="E161" s="8"/>
      <c r="F161" s="8"/>
      <c r="G161" s="373"/>
    </row>
    <row r="162" spans="1:27" x14ac:dyDescent="0.35">
      <c r="A162" s="12" t="s">
        <v>74</v>
      </c>
      <c r="B162" s="13" t="s">
        <v>66</v>
      </c>
      <c r="C162" s="8">
        <v>84</v>
      </c>
      <c r="D162" s="8"/>
      <c r="E162" s="8"/>
      <c r="F162" s="8"/>
      <c r="G162" s="373"/>
    </row>
    <row r="163" spans="1:27" x14ac:dyDescent="0.35">
      <c r="A163" s="12" t="s">
        <v>72</v>
      </c>
      <c r="B163" s="13" t="s">
        <v>67</v>
      </c>
      <c r="C163" s="8">
        <v>92</v>
      </c>
      <c r="D163" s="8"/>
      <c r="E163" s="8"/>
      <c r="F163" s="8"/>
      <c r="G163" s="373"/>
    </row>
    <row r="164" spans="1:27" x14ac:dyDescent="0.35">
      <c r="A164" s="12" t="s">
        <v>71</v>
      </c>
      <c r="B164" s="13" t="s">
        <v>68</v>
      </c>
      <c r="C164" s="8">
        <f>48*2</f>
        <v>96</v>
      </c>
      <c r="D164" s="8"/>
      <c r="E164" s="8"/>
      <c r="F164" s="8"/>
      <c r="G164" s="373"/>
    </row>
    <row r="165" spans="1:27" x14ac:dyDescent="0.35">
      <c r="A165" s="12" t="s">
        <v>1033</v>
      </c>
      <c r="B165" s="13" t="s">
        <v>69</v>
      </c>
      <c r="C165" s="8">
        <f>45*2</f>
        <v>90</v>
      </c>
      <c r="D165" s="8"/>
      <c r="E165" s="8"/>
      <c r="F165" s="8"/>
      <c r="G165" s="373"/>
    </row>
    <row r="166" spans="1:27" ht="15" thickBot="1" x14ac:dyDescent="0.4">
      <c r="A166" s="16" t="s">
        <v>1034</v>
      </c>
      <c r="B166" s="17" t="s">
        <v>70</v>
      </c>
      <c r="C166" s="10">
        <f>45*2</f>
        <v>90</v>
      </c>
      <c r="D166" s="10"/>
      <c r="E166" s="10"/>
      <c r="F166" s="10"/>
      <c r="G166" s="374"/>
    </row>
    <row r="169" spans="1:27" x14ac:dyDescent="0.35">
      <c r="A169" s="23" t="s">
        <v>57</v>
      </c>
      <c r="B169" s="24"/>
      <c r="C169" s="7">
        <f>18.5*2</f>
        <v>37</v>
      </c>
      <c r="D169" s="4"/>
      <c r="E169" s="4"/>
      <c r="F169" s="4"/>
    </row>
    <row r="170" spans="1:27" x14ac:dyDescent="0.35">
      <c r="A170" s="24"/>
      <c r="B170" s="24"/>
      <c r="C170" s="24"/>
      <c r="D170" s="4"/>
      <c r="E170" s="4"/>
      <c r="F170" s="4"/>
    </row>
    <row r="171" spans="1:27" x14ac:dyDescent="0.35">
      <c r="N171" s="23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7"/>
    </row>
    <row r="172" spans="1:27" x14ac:dyDescent="0.35">
      <c r="N172" s="1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2" t="s">
        <v>449</v>
      </c>
    </row>
    <row r="173" spans="1:27" x14ac:dyDescent="0.35">
      <c r="N173" s="1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 t="s">
        <v>481</v>
      </c>
      <c r="Z173" s="4">
        <v>416.9</v>
      </c>
      <c r="AA173" s="2">
        <f>Z173-191.5-15</f>
        <v>210.39999999999998</v>
      </c>
    </row>
    <row r="174" spans="1:27" x14ac:dyDescent="0.35">
      <c r="N174" s="1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 t="s">
        <v>482</v>
      </c>
      <c r="Z174" s="4">
        <v>454.9</v>
      </c>
      <c r="AA174" s="2">
        <f t="shared" ref="AA174:AA176" si="86">Z174-191.5-15</f>
        <v>248.39999999999998</v>
      </c>
    </row>
    <row r="175" spans="1:27" x14ac:dyDescent="0.35">
      <c r="N175" s="1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 t="s">
        <v>483</v>
      </c>
      <c r="Z175" s="4">
        <v>416.9</v>
      </c>
      <c r="AA175" s="2">
        <f t="shared" si="86"/>
        <v>210.39999999999998</v>
      </c>
    </row>
    <row r="176" spans="1:27" x14ac:dyDescent="0.35">
      <c r="N176" s="1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 t="s">
        <v>484</v>
      </c>
      <c r="Z176" s="4">
        <v>453.3</v>
      </c>
      <c r="AA176" s="2">
        <f t="shared" si="86"/>
        <v>246.8</v>
      </c>
    </row>
    <row r="177" spans="14:27" x14ac:dyDescent="0.35">
      <c r="N177" s="1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2"/>
    </row>
    <row r="178" spans="14:27" x14ac:dyDescent="0.35">
      <c r="N178" s="1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2"/>
    </row>
    <row r="179" spans="14:27" x14ac:dyDescent="0.35">
      <c r="N179" s="1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2"/>
    </row>
    <row r="180" spans="14:27" x14ac:dyDescent="0.35">
      <c r="N180" s="1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2"/>
    </row>
    <row r="181" spans="14:27" x14ac:dyDescent="0.35">
      <c r="N181" s="1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2"/>
    </row>
    <row r="182" spans="14:27" x14ac:dyDescent="0.35">
      <c r="N182" s="1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2"/>
    </row>
    <row r="183" spans="14:27" x14ac:dyDescent="0.35">
      <c r="N183" s="1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2"/>
    </row>
    <row r="184" spans="14:27" x14ac:dyDescent="0.35">
      <c r="N184" s="1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2"/>
    </row>
    <row r="185" spans="14:27" x14ac:dyDescent="0.35">
      <c r="N185" s="1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2"/>
    </row>
    <row r="186" spans="14:27" x14ac:dyDescent="0.35">
      <c r="N186" s="1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2"/>
    </row>
    <row r="187" spans="14:27" x14ac:dyDescent="0.35">
      <c r="N187" s="1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2"/>
    </row>
    <row r="188" spans="14:27" x14ac:dyDescent="0.35">
      <c r="N188" s="1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2"/>
    </row>
    <row r="189" spans="14:27" x14ac:dyDescent="0.35">
      <c r="N189" s="1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2"/>
    </row>
    <row r="190" spans="14:27" x14ac:dyDescent="0.35">
      <c r="N190" s="1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2"/>
    </row>
    <row r="191" spans="14:27" x14ac:dyDescent="0.35">
      <c r="N191" s="1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2"/>
    </row>
    <row r="192" spans="14:27" x14ac:dyDescent="0.35">
      <c r="N192" s="1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2"/>
    </row>
    <row r="193" spans="14:27" x14ac:dyDescent="0.35">
      <c r="N193" s="1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2"/>
    </row>
    <row r="194" spans="14:27" x14ac:dyDescent="0.35">
      <c r="N194" s="120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3"/>
    </row>
    <row r="196" spans="14:27" x14ac:dyDescent="0.35">
      <c r="X196" t="s">
        <v>486</v>
      </c>
      <c r="Y196" t="s">
        <v>485</v>
      </c>
    </row>
    <row r="197" spans="14:27" x14ac:dyDescent="0.35">
      <c r="X197">
        <v>320</v>
      </c>
      <c r="Y197">
        <v>303</v>
      </c>
    </row>
    <row r="198" spans="14:27" x14ac:dyDescent="0.35">
      <c r="X198">
        <v>340</v>
      </c>
      <c r="Y198">
        <v>323</v>
      </c>
    </row>
    <row r="199" spans="14:27" x14ac:dyDescent="0.35">
      <c r="X199">
        <v>360</v>
      </c>
      <c r="Y199">
        <v>343</v>
      </c>
    </row>
    <row r="200" spans="14:27" x14ac:dyDescent="0.35">
      <c r="X200">
        <v>380</v>
      </c>
      <c r="Y200">
        <v>363</v>
      </c>
    </row>
    <row r="201" spans="14:27" x14ac:dyDescent="0.35">
      <c r="X201">
        <v>400</v>
      </c>
      <c r="Y201">
        <v>383</v>
      </c>
    </row>
    <row r="202" spans="14:27" x14ac:dyDescent="0.35">
      <c r="X202">
        <v>420</v>
      </c>
      <c r="Y202">
        <v>403</v>
      </c>
    </row>
    <row r="203" spans="14:27" x14ac:dyDescent="0.35">
      <c r="X203">
        <v>440</v>
      </c>
      <c r="Y203">
        <v>423</v>
      </c>
    </row>
    <row r="204" spans="14:27" x14ac:dyDescent="0.35">
      <c r="X204">
        <v>460</v>
      </c>
      <c r="Y204">
        <v>443</v>
      </c>
    </row>
    <row r="205" spans="14:27" x14ac:dyDescent="0.35">
      <c r="X205">
        <v>480</v>
      </c>
      <c r="Y205">
        <v>463</v>
      </c>
    </row>
    <row r="206" spans="14:27" x14ac:dyDescent="0.35">
      <c r="X206">
        <v>500</v>
      </c>
      <c r="Y206">
        <v>483</v>
      </c>
    </row>
  </sheetData>
  <mergeCells count="45">
    <mergeCell ref="U80:U81"/>
    <mergeCell ref="A129:B129"/>
    <mergeCell ref="G134:G135"/>
    <mergeCell ref="G142:G143"/>
    <mergeCell ref="G137:G140"/>
    <mergeCell ref="N80:N81"/>
    <mergeCell ref="AB80:AB81"/>
    <mergeCell ref="AD80:AD81"/>
    <mergeCell ref="Y80:Y81"/>
    <mergeCell ref="V80:V81"/>
    <mergeCell ref="W80:W81"/>
    <mergeCell ref="X80:X81"/>
    <mergeCell ref="Z80:Z81"/>
    <mergeCell ref="G152:G155"/>
    <mergeCell ref="A156:B156"/>
    <mergeCell ref="C156:G156"/>
    <mergeCell ref="G157:G166"/>
    <mergeCell ref="A3:B3"/>
    <mergeCell ref="A9:B9"/>
    <mergeCell ref="A133:B133"/>
    <mergeCell ref="A151:B151"/>
    <mergeCell ref="A136:B136"/>
    <mergeCell ref="A141:B141"/>
    <mergeCell ref="C3:G3"/>
    <mergeCell ref="A144:B144"/>
    <mergeCell ref="A22:B22"/>
    <mergeCell ref="A33:B33"/>
    <mergeCell ref="A49:B49"/>
    <mergeCell ref="A66:B66"/>
    <mergeCell ref="A4:B4"/>
    <mergeCell ref="A124:B124"/>
    <mergeCell ref="AE80:AE81"/>
    <mergeCell ref="P80:P81"/>
    <mergeCell ref="R80:R81"/>
    <mergeCell ref="T80:T81"/>
    <mergeCell ref="K10:Q12"/>
    <mergeCell ref="G10:G21"/>
    <mergeCell ref="A82:B82"/>
    <mergeCell ref="A115:B115"/>
    <mergeCell ref="AA80:AA81"/>
    <mergeCell ref="AC80:AC81"/>
    <mergeCell ref="N78:AE79"/>
    <mergeCell ref="O80:O81"/>
    <mergeCell ref="Q80:Q81"/>
    <mergeCell ref="S80:S81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84D58-148D-49D5-8BB3-468C6DC2D9D1}">
  <dimension ref="B1:T73"/>
  <sheetViews>
    <sheetView showGridLines="0" zoomScale="80" zoomScaleNormal="80" workbookViewId="0">
      <selection activeCell="AC11" sqref="AC11"/>
    </sheetView>
  </sheetViews>
  <sheetFormatPr defaultColWidth="8.90625" defaultRowHeight="18" customHeight="1" x14ac:dyDescent="0.35"/>
  <cols>
    <col min="1" max="1" width="5.81640625" style="86" customWidth="1"/>
    <col min="2" max="3" width="32.81640625" style="86" customWidth="1"/>
    <col min="4" max="9" width="8.90625" style="86" hidden="1" customWidth="1"/>
    <col min="10" max="10" width="8.90625" style="86" customWidth="1"/>
    <col min="11" max="11" width="8.90625" style="86" hidden="1" customWidth="1"/>
    <col min="12" max="12" width="0" style="86" hidden="1" customWidth="1"/>
    <col min="13" max="14" width="8.90625" style="86"/>
    <col min="15" max="15" width="9.1796875" style="86" customWidth="1"/>
    <col min="16" max="18" width="8.90625" style="86"/>
    <col min="19" max="19" width="28.453125" style="86" customWidth="1"/>
    <col min="20" max="16384" width="8.90625" style="86"/>
  </cols>
  <sheetData>
    <row r="1" spans="2:16" ht="18" customHeight="1" x14ac:dyDescent="0.35"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</row>
    <row r="2" spans="2:16" ht="18" customHeight="1" x14ac:dyDescent="0.35"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</row>
    <row r="3" spans="2:16" ht="18" customHeight="1" thickBot="1" x14ac:dyDescent="0.4"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</row>
    <row r="4" spans="2:16" ht="18" customHeight="1" x14ac:dyDescent="0.35">
      <c r="B4" s="387" t="s">
        <v>79</v>
      </c>
      <c r="C4" s="339" t="s">
        <v>78</v>
      </c>
    </row>
    <row r="5" spans="2:16" ht="18" customHeight="1" x14ac:dyDescent="0.35">
      <c r="B5" s="388"/>
      <c r="C5" s="340"/>
    </row>
    <row r="6" spans="2:16" ht="18" customHeight="1" x14ac:dyDescent="0.35">
      <c r="B6" s="88" t="s">
        <v>988</v>
      </c>
      <c r="C6" s="89"/>
      <c r="D6" s="135" t="s">
        <v>444</v>
      </c>
    </row>
    <row r="7" spans="2:16" ht="18" customHeight="1" x14ac:dyDescent="0.35">
      <c r="B7" s="90" t="s">
        <v>1036</v>
      </c>
      <c r="C7" s="91" t="str">
        <f>VLOOKUP(B7,'Values Champion'!A5:C8,2,0)</f>
        <v>DHA1160</v>
      </c>
      <c r="D7" s="86">
        <f>VLOOKUP(B7,'Values Champion'!A5:D8,3,0)</f>
        <v>0</v>
      </c>
    </row>
    <row r="8" spans="2:16" ht="18" customHeight="1" x14ac:dyDescent="0.35">
      <c r="B8" s="88" t="s">
        <v>969</v>
      </c>
      <c r="C8" s="89"/>
      <c r="D8" s="102" t="s">
        <v>51</v>
      </c>
      <c r="E8" s="103"/>
    </row>
    <row r="9" spans="2:16" ht="18" customHeight="1" x14ac:dyDescent="0.35">
      <c r="B9" s="90" t="s">
        <v>6</v>
      </c>
      <c r="C9" s="91" t="str">
        <f>VLOOKUP(B9,'Values Champion'!A10:C16,2,0)</f>
        <v>DHA1330</v>
      </c>
      <c r="D9" s="86">
        <f>VLOOKUP(B9,'Values Champion'!A10:C16,3,0)</f>
        <v>360</v>
      </c>
    </row>
    <row r="10" spans="2:16" ht="18" customHeight="1" x14ac:dyDescent="0.35">
      <c r="B10" s="88" t="s">
        <v>989</v>
      </c>
      <c r="C10" s="89"/>
      <c r="D10" s="135" t="s">
        <v>418</v>
      </c>
      <c r="E10" s="136" t="s">
        <v>422</v>
      </c>
    </row>
    <row r="11" spans="2:16" ht="18" customHeight="1" x14ac:dyDescent="0.35">
      <c r="B11" s="90" t="s">
        <v>280</v>
      </c>
      <c r="C11" s="91" t="str">
        <f>VLOOKUP(B11,'Values Champion'!A18:C25,2,0)</f>
        <v>DHA1435</v>
      </c>
      <c r="D11" s="131">
        <f>VLOOKUP(B11,'Values Champion'!A18:D25,3,0)</f>
        <v>385</v>
      </c>
      <c r="E11" s="131">
        <f>VLOOKUP(B11,'Values Champion'!A18:E25,4,0)</f>
        <v>32.35</v>
      </c>
    </row>
    <row r="12" spans="2:16" ht="18" customHeight="1" x14ac:dyDescent="0.35">
      <c r="B12" s="88" t="s">
        <v>990</v>
      </c>
      <c r="C12" s="89"/>
      <c r="D12" s="156" t="s">
        <v>474</v>
      </c>
      <c r="E12" s="131"/>
    </row>
    <row r="13" spans="2:16" ht="18" customHeight="1" x14ac:dyDescent="0.35">
      <c r="B13" s="90" t="s">
        <v>296</v>
      </c>
      <c r="C13" s="91" t="str">
        <f>VLOOKUP(B13,'Values Champion'!A27:C38,2,0)</f>
        <v>DHA1625</v>
      </c>
      <c r="D13" s="154">
        <f>VLOOKUP(B13,'Values Champion'!A27:D38,3,0)</f>
        <v>330</v>
      </c>
      <c r="E13" s="131"/>
    </row>
    <row r="14" spans="2:16" ht="18" customHeight="1" x14ac:dyDescent="0.35">
      <c r="B14" s="88" t="s">
        <v>956</v>
      </c>
      <c r="C14" s="89"/>
      <c r="D14" s="135" t="s">
        <v>442</v>
      </c>
      <c r="E14" s="155" t="s">
        <v>441</v>
      </c>
    </row>
    <row r="15" spans="2:16" ht="18" customHeight="1" x14ac:dyDescent="0.35">
      <c r="B15" s="90" t="s">
        <v>321</v>
      </c>
      <c r="C15" s="91" t="str">
        <f>VLOOKUP(B15,'Values Champion'!A40:C49,2,0)</f>
        <v>DHA1750</v>
      </c>
      <c r="D15" s="86">
        <f>SIN((VLOOKUP(B15,'Values Champion'!A40:C49,3,0)-VLOOKUP(B17,'Values Champion'!A51:C60,3,0))/D11)</f>
        <v>0.15521407989432853</v>
      </c>
      <c r="E15" s="86">
        <f>D15*(180/3.141592)</f>
        <v>8.8931135491111295</v>
      </c>
    </row>
    <row r="16" spans="2:16" ht="18" customHeight="1" x14ac:dyDescent="0.35">
      <c r="B16" s="88" t="s">
        <v>957</v>
      </c>
      <c r="C16" s="89"/>
      <c r="D16" s="158" t="s">
        <v>479</v>
      </c>
    </row>
    <row r="17" spans="2:19" ht="18" customHeight="1" x14ac:dyDescent="0.35">
      <c r="B17" s="90" t="s">
        <v>344</v>
      </c>
      <c r="C17" s="91" t="str">
        <f>VLOOKUP(B17,'Values Champion'!A51:C60,2,0)</f>
        <v>DHA1825</v>
      </c>
      <c r="D17" s="86">
        <f>VLOOKUP(B17,'Values Champion'!A51:C60,3,0)</f>
        <v>410</v>
      </c>
    </row>
    <row r="18" spans="2:19" ht="18" customHeight="1" x14ac:dyDescent="0.35">
      <c r="B18" s="88" t="s">
        <v>958</v>
      </c>
      <c r="C18" s="89"/>
      <c r="D18" s="135" t="s">
        <v>403</v>
      </c>
      <c r="E18" s="135" t="s">
        <v>401</v>
      </c>
      <c r="F18" s="135" t="s">
        <v>443</v>
      </c>
    </row>
    <row r="19" spans="2:19" ht="18" customHeight="1" x14ac:dyDescent="0.35">
      <c r="B19" s="90" t="s">
        <v>365</v>
      </c>
      <c r="C19" s="91" t="str">
        <f>VLOOKUP(B19,'Values Champion'!A62:D80,2,0)</f>
        <v>DHA1940</v>
      </c>
      <c r="D19" s="86">
        <f>SQRT(POWER(VLOOKUP(B19,'Values Champion'!A62:D80,3,0),2)-POWER(E11,2))</f>
        <v>398.68970076990956</v>
      </c>
      <c r="E19" s="86">
        <f>SIN(D15)*D19</f>
        <v>61.634082395942798</v>
      </c>
      <c r="F19" s="131">
        <f>47.73+(VLOOKUP(B19,'Values Champion'!A62:G80,4,0))+(VLOOKUP(B11,'Values Champion'!A18:E25,5,0))</f>
        <v>73.73</v>
      </c>
      <c r="G19" s="112"/>
      <c r="H19" s="112"/>
      <c r="I19" s="112"/>
    </row>
    <row r="20" spans="2:19" ht="18" customHeight="1" x14ac:dyDescent="0.35">
      <c r="B20" s="392" t="s">
        <v>1071</v>
      </c>
      <c r="C20" s="393"/>
      <c r="D20" s="156" t="s">
        <v>475</v>
      </c>
      <c r="E20" s="157" t="s">
        <v>476</v>
      </c>
      <c r="F20" s="131"/>
      <c r="G20" s="112"/>
      <c r="H20" s="112"/>
      <c r="I20" s="112"/>
      <c r="J20" s="90"/>
    </row>
    <row r="21" spans="2:19" ht="18" customHeight="1" x14ac:dyDescent="0.35">
      <c r="B21" s="90" t="s">
        <v>471</v>
      </c>
      <c r="C21" s="91" t="str">
        <f>VLOOKUP(B21,'Values Champion'!A87:C91,2,0)</f>
        <v>DHA2550</v>
      </c>
      <c r="D21" s="131">
        <f>VLOOKUP(B21,'Values Champion'!A87:D91,3,0)</f>
        <v>85</v>
      </c>
      <c r="E21" s="208">
        <f>COS((90-C50)*(3.141592/180))*D13</f>
        <v>329.23581233359653</v>
      </c>
      <c r="F21" s="131"/>
      <c r="G21" s="112"/>
      <c r="H21" s="112"/>
      <c r="I21" s="112"/>
    </row>
    <row r="22" spans="2:19" ht="18" customHeight="1" x14ac:dyDescent="0.35">
      <c r="B22" s="88" t="s">
        <v>1004</v>
      </c>
      <c r="C22" s="89"/>
      <c r="D22" s="160" t="s">
        <v>480</v>
      </c>
      <c r="F22" s="131"/>
      <c r="G22" s="112"/>
      <c r="H22" s="112"/>
      <c r="I22" s="112"/>
    </row>
    <row r="23" spans="2:19" ht="18" customHeight="1" x14ac:dyDescent="0.35">
      <c r="B23" s="90" t="s">
        <v>1019</v>
      </c>
      <c r="C23" s="91" t="str">
        <f>VLOOKUP(B23,'Values Champion'!A82:C85,2,0)</f>
        <v>DHA2400</v>
      </c>
      <c r="D23" s="159">
        <f>VLOOKUP(B23,'Values Champion'!A82:D85,3,0)</f>
        <v>5</v>
      </c>
      <c r="F23" s="131"/>
      <c r="G23" s="112"/>
      <c r="H23" s="112"/>
      <c r="I23" s="112"/>
    </row>
    <row r="24" spans="2:19" ht="18" customHeight="1" x14ac:dyDescent="0.35">
      <c r="B24" s="88" t="s">
        <v>960</v>
      </c>
      <c r="C24" s="89"/>
      <c r="D24" s="135" t="s">
        <v>404</v>
      </c>
      <c r="E24" s="135" t="s">
        <v>449</v>
      </c>
    </row>
    <row r="25" spans="2:19" ht="18" customHeight="1" x14ac:dyDescent="0.35">
      <c r="B25" s="119">
        <v>2</v>
      </c>
      <c r="C25" s="91" t="str">
        <f>VLOOKUP(B25,'Values Champion'!A96:C104,2,0)</f>
        <v>DHA6110</v>
      </c>
      <c r="D25" s="132">
        <f>VLOOKUP(B25,'Values Champion'!A96:D104,3,0)</f>
        <v>65.5</v>
      </c>
      <c r="E25" s="141">
        <f>2*(SQRT(POWER(125.5,2)+POWER(42.5,2)))*SIN(D15/2)</f>
        <v>20.545373886530896</v>
      </c>
    </row>
    <row r="26" spans="2:19" ht="18" customHeight="1" x14ac:dyDescent="0.35">
      <c r="B26" s="88" t="s">
        <v>994</v>
      </c>
      <c r="C26" s="89"/>
      <c r="D26" s="102" t="s">
        <v>757</v>
      </c>
      <c r="E26" s="141"/>
      <c r="O26" s="92" t="s">
        <v>972</v>
      </c>
      <c r="Q26" s="92"/>
      <c r="R26" s="93"/>
    </row>
    <row r="27" spans="2:19" ht="18" customHeight="1" x14ac:dyDescent="0.35">
      <c r="B27" s="90" t="s">
        <v>1039</v>
      </c>
      <c r="C27" s="115" t="str">
        <f>VLOOKUP(B27,'Values Champion'!A93:C94,2,0)</f>
        <v>DHA3240</v>
      </c>
      <c r="D27" s="86">
        <f>VLOOKUP(B27,'Values Champion'!A93:C94,3,0)</f>
        <v>130</v>
      </c>
      <c r="E27" s="141"/>
      <c r="O27" s="93" t="s">
        <v>973</v>
      </c>
      <c r="Q27" s="93"/>
      <c r="R27" s="93"/>
      <c r="S27" s="93"/>
    </row>
    <row r="28" spans="2:19" ht="18" customHeight="1" x14ac:dyDescent="0.35">
      <c r="B28" s="390" t="s">
        <v>1009</v>
      </c>
      <c r="C28" s="391"/>
      <c r="D28" s="102" t="s">
        <v>187</v>
      </c>
      <c r="O28" s="93" t="s">
        <v>974</v>
      </c>
      <c r="R28" s="93"/>
      <c r="S28" s="93"/>
    </row>
    <row r="29" spans="2:19" ht="18" customHeight="1" x14ac:dyDescent="0.35">
      <c r="B29" s="90" t="s">
        <v>1041</v>
      </c>
      <c r="C29" s="115" t="str">
        <f>VLOOKUP(B29,'Values Champion'!A110:C112,2,0)</f>
        <v>DHA3440</v>
      </c>
      <c r="O29" s="93" t="s">
        <v>975</v>
      </c>
      <c r="R29" s="95"/>
      <c r="S29" s="92"/>
    </row>
    <row r="30" spans="2:19" ht="18" customHeight="1" x14ac:dyDescent="0.35">
      <c r="B30" s="88" t="s">
        <v>995</v>
      </c>
      <c r="C30" s="89"/>
      <c r="D30" s="102" t="s">
        <v>187</v>
      </c>
      <c r="O30" s="93" t="s">
        <v>977</v>
      </c>
      <c r="R30" s="93"/>
      <c r="S30" s="93"/>
    </row>
    <row r="31" spans="2:19" ht="18" customHeight="1" x14ac:dyDescent="0.35">
      <c r="B31" s="90" t="s">
        <v>1043</v>
      </c>
      <c r="C31" s="91" t="str">
        <f>VLOOKUP(B31,'Values Champion'!A114:C115,2,0)</f>
        <v>Autre</v>
      </c>
      <c r="O31" s="93" t="s">
        <v>978</v>
      </c>
    </row>
    <row r="32" spans="2:19" ht="18" customHeight="1" x14ac:dyDescent="0.35">
      <c r="B32" s="88" t="s">
        <v>996</v>
      </c>
      <c r="C32" s="89"/>
      <c r="D32" s="102" t="s">
        <v>185</v>
      </c>
      <c r="E32" s="136" t="s">
        <v>446</v>
      </c>
    </row>
    <row r="33" spans="2:20" ht="18" customHeight="1" x14ac:dyDescent="0.35">
      <c r="B33" s="90" t="s">
        <v>31</v>
      </c>
      <c r="C33" s="91" t="str">
        <f>VLOOKUP(B33,'Values Champion'!A125:C128,2,0)</f>
        <v>DHA6410</v>
      </c>
      <c r="D33" s="96">
        <f>2*(VLOOKUP(B33,'Values Champion'!A125:C128,3,0)/2)*SIN((VLOOKUP(B39,'Values Champion'!A106:C108,3,0)*(3.141592/180)))</f>
        <v>5.3196949331055103</v>
      </c>
      <c r="E33" s="86">
        <f>VLOOKUP(B33,'Values Champion'!A125:C128,3,0)/2</f>
        <v>304.8</v>
      </c>
      <c r="O33" s="92" t="s">
        <v>979</v>
      </c>
    </row>
    <row r="34" spans="2:20" ht="18" customHeight="1" x14ac:dyDescent="0.35">
      <c r="B34" s="88" t="s">
        <v>997</v>
      </c>
      <c r="C34" s="89"/>
      <c r="D34" s="102" t="s">
        <v>55</v>
      </c>
      <c r="O34" s="93" t="s">
        <v>980</v>
      </c>
      <c r="T34" s="282" t="s">
        <v>1000</v>
      </c>
    </row>
    <row r="35" spans="2:20" ht="18" customHeight="1" x14ac:dyDescent="0.35">
      <c r="B35" s="90" t="s">
        <v>39</v>
      </c>
      <c r="C35" s="91" t="str">
        <f>VLOOKUP(B35,'Values Champion'!A120:C123,2,0)</f>
        <v>DHA6510</v>
      </c>
      <c r="D35" s="86">
        <f>VLOOKUP(B35,'Values Champion'!A120:C123,3,0)</f>
        <v>53</v>
      </c>
      <c r="O35" s="93" t="s">
        <v>982</v>
      </c>
      <c r="T35" s="282" t="s">
        <v>1001</v>
      </c>
    </row>
    <row r="36" spans="2:20" ht="18" customHeight="1" x14ac:dyDescent="0.35">
      <c r="B36" s="88" t="s">
        <v>998</v>
      </c>
      <c r="C36" s="89"/>
      <c r="D36" s="102" t="s">
        <v>186</v>
      </c>
      <c r="O36" s="93" t="s">
        <v>983</v>
      </c>
      <c r="T36" s="282" t="s">
        <v>1002</v>
      </c>
    </row>
    <row r="37" spans="2:20" ht="18" customHeight="1" x14ac:dyDescent="0.35">
      <c r="B37" s="90" t="s">
        <v>1031</v>
      </c>
      <c r="C37" s="91" t="str">
        <f>VLOOKUP(B37,'Values Champion'!A130:C139,2,0)</f>
        <v>DHA6700</v>
      </c>
      <c r="D37" s="86">
        <f>VLOOKUP(B37,'Values Champion'!A130:C139,3,0)</f>
        <v>94</v>
      </c>
      <c r="O37" s="93" t="s">
        <v>984</v>
      </c>
      <c r="T37" s="282" t="s">
        <v>1002</v>
      </c>
    </row>
    <row r="38" spans="2:20" ht="18" customHeight="1" x14ac:dyDescent="0.35">
      <c r="B38" s="88" t="s">
        <v>964</v>
      </c>
      <c r="C38" s="104"/>
      <c r="D38" s="102" t="s">
        <v>185</v>
      </c>
      <c r="E38" s="102"/>
      <c r="F38" s="111"/>
      <c r="O38" s="93" t="s">
        <v>985</v>
      </c>
      <c r="T38" s="282" t="s">
        <v>1002</v>
      </c>
    </row>
    <row r="39" spans="2:20" ht="18" customHeight="1" x14ac:dyDescent="0.35">
      <c r="B39" s="90" t="s">
        <v>46</v>
      </c>
      <c r="C39" s="91" t="str">
        <f>VLOOKUP(B39,'Values Champion'!A106:C108,2,0)</f>
        <v>DHA6820</v>
      </c>
      <c r="O39" s="93" t="s">
        <v>986</v>
      </c>
      <c r="T39" s="282"/>
    </row>
    <row r="40" spans="2:20" ht="18" customHeight="1" x14ac:dyDescent="0.35">
      <c r="B40" s="88" t="s">
        <v>999</v>
      </c>
      <c r="C40" s="89"/>
      <c r="D40" s="102" t="s">
        <v>54</v>
      </c>
      <c r="E40" s="102" t="s">
        <v>187</v>
      </c>
    </row>
    <row r="41" spans="2:20" ht="18" customHeight="1" x14ac:dyDescent="0.35">
      <c r="B41" s="90" t="s">
        <v>1015</v>
      </c>
      <c r="C41" s="115" t="str">
        <f>VLOOKUP(B41,'Values Champion'!A117:B118,2,0)</f>
        <v>DHA7500/7510/7520</v>
      </c>
      <c r="D41" s="86">
        <f>VLOOKUP(B41,'Values Champion'!A117:C118,3,0)</f>
        <v>14</v>
      </c>
      <c r="H41" s="143"/>
      <c r="O41" s="92"/>
    </row>
    <row r="42" spans="2:20" ht="18" customHeight="1" x14ac:dyDescent="0.35">
      <c r="B42" s="335" t="s">
        <v>965</v>
      </c>
      <c r="C42" s="337">
        <f>ROUNDUP(E48+E49+(E50*2)+E52+E53+E54+E55,0)</f>
        <v>581</v>
      </c>
      <c r="F42" s="334"/>
      <c r="G42" s="105"/>
      <c r="O42" s="93"/>
    </row>
    <row r="43" spans="2:20" ht="18" customHeight="1" thickBot="1" x14ac:dyDescent="0.4">
      <c r="B43" s="336"/>
      <c r="C43" s="338"/>
      <c r="F43" s="334"/>
      <c r="G43" s="105"/>
      <c r="M43" s="92"/>
      <c r="O43" s="93"/>
    </row>
    <row r="44" spans="2:20" ht="18" customHeight="1" x14ac:dyDescent="0.35">
      <c r="B44" s="335" t="s">
        <v>966</v>
      </c>
      <c r="C44" s="337">
        <f>ROUNDUP((COS(D15)*(D11-D25))-E25+(E11*COS(D15))+E19+(COS(D15)*D27)+E33+((COS(D15)*F19)*D7),0)</f>
        <v>822</v>
      </c>
      <c r="D44" s="86" t="s">
        <v>658</v>
      </c>
      <c r="M44" s="294"/>
      <c r="O44" s="93"/>
    </row>
    <row r="45" spans="2:20" ht="18" customHeight="1" thickBot="1" x14ac:dyDescent="0.4">
      <c r="B45" s="336"/>
      <c r="C45" s="338"/>
      <c r="M45" s="93"/>
      <c r="O45" s="93"/>
    </row>
    <row r="46" spans="2:20" ht="18" customHeight="1" x14ac:dyDescent="0.35">
      <c r="B46" s="335" t="s">
        <v>967</v>
      </c>
      <c r="C46" s="337">
        <f>ROUNDUP(D17+E21+D23-E67,0)</f>
        <v>740</v>
      </c>
      <c r="D46" s="86">
        <v>825</v>
      </c>
      <c r="O46" s="93"/>
    </row>
    <row r="47" spans="2:20" ht="18" customHeight="1" thickBot="1" x14ac:dyDescent="0.4">
      <c r="B47" s="336"/>
      <c r="C47" s="338"/>
      <c r="D47" s="93"/>
      <c r="E47" s="106" t="s">
        <v>247</v>
      </c>
      <c r="F47" s="93"/>
      <c r="O47" s="93"/>
    </row>
    <row r="48" spans="2:20" ht="18" customHeight="1" x14ac:dyDescent="0.35">
      <c r="B48" s="335" t="s">
        <v>1063</v>
      </c>
      <c r="C48" s="389">
        <f>ROUNDUP(E15,1)</f>
        <v>8.9</v>
      </c>
      <c r="D48" s="133" t="s">
        <v>94</v>
      </c>
      <c r="E48" s="107">
        <f>D9</f>
        <v>360</v>
      </c>
      <c r="F48" s="93" t="s">
        <v>258</v>
      </c>
    </row>
    <row r="49" spans="2:16" ht="18" customHeight="1" thickBot="1" x14ac:dyDescent="0.4">
      <c r="B49" s="336"/>
      <c r="C49" s="346"/>
      <c r="D49" s="133" t="s">
        <v>95</v>
      </c>
      <c r="E49" s="107">
        <f>21.3*2</f>
        <v>42.6</v>
      </c>
      <c r="F49" s="93" t="s">
        <v>259</v>
      </c>
    </row>
    <row r="50" spans="2:16" ht="18" customHeight="1" x14ac:dyDescent="0.35">
      <c r="B50" s="335" t="s">
        <v>968</v>
      </c>
      <c r="C50" s="389">
        <f>ROUNDUP(C48+D21,1)</f>
        <v>93.9</v>
      </c>
      <c r="D50" s="133" t="s">
        <v>96</v>
      </c>
      <c r="E50" s="107">
        <f>VLOOKUP(E51,'KT Champion'!F1:G241,2,0)</f>
        <v>6</v>
      </c>
      <c r="F50" s="93" t="s">
        <v>182</v>
      </c>
    </row>
    <row r="51" spans="2:16" ht="18" customHeight="1" thickBot="1" x14ac:dyDescent="0.4">
      <c r="B51" s="336"/>
      <c r="C51" s="346"/>
      <c r="D51" s="133"/>
      <c r="E51" s="93" t="str">
        <f>CONCATENATE(C29,C31,C35,'Champion 2.0 '!C39,'Champion 2.0 '!B41)</f>
        <v>DHA3440AutreDHA6510DHA6820Oui</v>
      </c>
      <c r="F51" s="93"/>
    </row>
    <row r="52" spans="2:16" ht="18" customHeight="1" x14ac:dyDescent="0.35">
      <c r="C52" s="149"/>
      <c r="D52" s="133" t="s">
        <v>98</v>
      </c>
      <c r="E52" s="108">
        <f>D41</f>
        <v>14</v>
      </c>
      <c r="F52" s="93" t="s">
        <v>260</v>
      </c>
    </row>
    <row r="53" spans="2:16" ht="18" customHeight="1" x14ac:dyDescent="0.35">
      <c r="D53" s="133" t="s">
        <v>99</v>
      </c>
      <c r="E53" s="107">
        <f>D35</f>
        <v>53</v>
      </c>
      <c r="F53" s="93" t="s">
        <v>261</v>
      </c>
    </row>
    <row r="54" spans="2:16" ht="18" customHeight="1" x14ac:dyDescent="0.35">
      <c r="D54" s="133" t="s">
        <v>183</v>
      </c>
      <c r="E54" s="108">
        <f>D33</f>
        <v>5.3196949331055103</v>
      </c>
      <c r="F54" s="93" t="s">
        <v>262</v>
      </c>
    </row>
    <row r="55" spans="2:16" ht="18" customHeight="1" x14ac:dyDescent="0.35">
      <c r="D55" s="134" t="s">
        <v>184</v>
      </c>
      <c r="E55" s="126">
        <f>D37</f>
        <v>94</v>
      </c>
      <c r="F55" s="144" t="s">
        <v>263</v>
      </c>
      <c r="G55" s="112"/>
      <c r="H55" s="112"/>
      <c r="I55" s="112"/>
      <c r="J55" s="112"/>
      <c r="K55" s="112"/>
    </row>
    <row r="56" spans="2:16" ht="18" customHeight="1" x14ac:dyDescent="0.35">
      <c r="D56" s="137" t="s">
        <v>399</v>
      </c>
      <c r="E56" s="107">
        <f>D11</f>
        <v>385</v>
      </c>
      <c r="F56" s="93" t="s">
        <v>424</v>
      </c>
    </row>
    <row r="57" spans="2:16" ht="18" customHeight="1" x14ac:dyDescent="0.35">
      <c r="D57" s="137" t="s">
        <v>400</v>
      </c>
      <c r="E57" s="107">
        <f>E11</f>
        <v>32.35</v>
      </c>
      <c r="F57" s="93" t="s">
        <v>425</v>
      </c>
    </row>
    <row r="58" spans="2:16" ht="18" customHeight="1" x14ac:dyDescent="0.35">
      <c r="D58" s="137" t="s">
        <v>402</v>
      </c>
      <c r="E58" s="107">
        <f>E19</f>
        <v>61.634082395942798</v>
      </c>
      <c r="F58" s="93" t="s">
        <v>426</v>
      </c>
    </row>
    <row r="59" spans="2:16" ht="18" customHeight="1" x14ac:dyDescent="0.35">
      <c r="D59" s="137" t="s">
        <v>405</v>
      </c>
      <c r="E59" s="107">
        <f>D19</f>
        <v>398.68970076990956</v>
      </c>
      <c r="F59" s="93" t="s">
        <v>427</v>
      </c>
    </row>
    <row r="60" spans="2:16" ht="18" customHeight="1" x14ac:dyDescent="0.35">
      <c r="D60" s="137" t="s">
        <v>406</v>
      </c>
      <c r="E60" s="107">
        <f>D25</f>
        <v>65.5</v>
      </c>
      <c r="F60" s="93" t="s">
        <v>417</v>
      </c>
    </row>
    <row r="61" spans="2:16" ht="18" customHeight="1" x14ac:dyDescent="0.35">
      <c r="D61" s="137" t="s">
        <v>447</v>
      </c>
      <c r="E61" s="142">
        <f>E25</f>
        <v>20.545373886530896</v>
      </c>
      <c r="F61" s="93" t="s">
        <v>454</v>
      </c>
      <c r="I61" s="86" t="s">
        <v>448</v>
      </c>
    </row>
    <row r="62" spans="2:16" ht="18" customHeight="1" x14ac:dyDescent="0.35">
      <c r="D62" s="138" t="s">
        <v>428</v>
      </c>
      <c r="E62" s="118"/>
      <c r="F62" s="86" t="s">
        <v>432</v>
      </c>
      <c r="I62" s="86" t="s">
        <v>436</v>
      </c>
    </row>
    <row r="63" spans="2:16" ht="18" customHeight="1" x14ac:dyDescent="0.35">
      <c r="B63" s="116"/>
      <c r="D63" s="138" t="s">
        <v>429</v>
      </c>
      <c r="E63" s="118"/>
      <c r="F63" s="86" t="s">
        <v>433</v>
      </c>
      <c r="G63" s="105"/>
      <c r="H63" s="105"/>
      <c r="I63" s="86" t="s">
        <v>436</v>
      </c>
    </row>
    <row r="64" spans="2:16" ht="18" customHeight="1" x14ac:dyDescent="0.35">
      <c r="D64" s="138" t="s">
        <v>430</v>
      </c>
      <c r="E64" s="118">
        <f>F19</f>
        <v>73.73</v>
      </c>
      <c r="F64" s="86" t="s">
        <v>434</v>
      </c>
      <c r="G64" s="105"/>
      <c r="H64" s="105"/>
      <c r="I64" s="86" t="s">
        <v>436</v>
      </c>
      <c r="N64" s="100"/>
      <c r="O64" s="100"/>
      <c r="P64" s="100"/>
    </row>
    <row r="65" spans="4:18" ht="18" customHeight="1" x14ac:dyDescent="0.35">
      <c r="D65" s="138" t="s">
        <v>431</v>
      </c>
      <c r="E65" s="118">
        <f>D7</f>
        <v>0</v>
      </c>
      <c r="F65" s="86" t="s">
        <v>435</v>
      </c>
      <c r="G65" s="105"/>
      <c r="H65" s="105"/>
      <c r="I65" s="86" t="s">
        <v>436</v>
      </c>
      <c r="N65" s="100"/>
      <c r="O65" s="100"/>
      <c r="P65" s="100"/>
      <c r="R65" s="117"/>
    </row>
    <row r="66" spans="4:18" ht="18" customHeight="1" x14ac:dyDescent="0.35">
      <c r="D66" s="138" t="s">
        <v>439</v>
      </c>
      <c r="E66" s="86">
        <f>D15</f>
        <v>0.15521407989432853</v>
      </c>
      <c r="F66" s="86" t="s">
        <v>452</v>
      </c>
      <c r="G66" s="105"/>
      <c r="H66" s="105"/>
      <c r="N66" s="100"/>
      <c r="O66" s="100"/>
      <c r="P66" s="100"/>
      <c r="R66" s="117"/>
    </row>
    <row r="67" spans="4:18" ht="18" customHeight="1" x14ac:dyDescent="0.35">
      <c r="D67" s="87" t="s">
        <v>876</v>
      </c>
      <c r="E67" s="86">
        <v>5</v>
      </c>
      <c r="F67" s="86" t="s">
        <v>884</v>
      </c>
      <c r="G67" s="105"/>
      <c r="H67" s="105"/>
      <c r="N67" s="100"/>
      <c r="O67" s="100"/>
      <c r="P67" s="100"/>
    </row>
    <row r="68" spans="4:18" ht="18" customHeight="1" x14ac:dyDescent="0.35">
      <c r="G68" s="105"/>
      <c r="H68" s="105"/>
    </row>
    <row r="69" spans="4:18" ht="18" customHeight="1" x14ac:dyDescent="0.35">
      <c r="D69" s="86" t="s">
        <v>445</v>
      </c>
    </row>
    <row r="70" spans="4:18" ht="18" customHeight="1" x14ac:dyDescent="0.35">
      <c r="D70" s="86" t="s">
        <v>453</v>
      </c>
    </row>
    <row r="71" spans="4:18" ht="18" customHeight="1" x14ac:dyDescent="0.35">
      <c r="D71" s="86" t="s">
        <v>455</v>
      </c>
    </row>
    <row r="72" spans="4:18" ht="18" customHeight="1" x14ac:dyDescent="0.35">
      <c r="D72" s="86" t="s">
        <v>456</v>
      </c>
    </row>
    <row r="73" spans="4:18" ht="18" customHeight="1" x14ac:dyDescent="0.35">
      <c r="D73" s="86" t="s">
        <v>457</v>
      </c>
    </row>
  </sheetData>
  <sheetProtection algorithmName="SHA-512" hashValue="q5EKYW8ie/Zg2TMI5nN3Sf5ku8cq0m+SvOQxfX1poxMZrSwfn4A4U+57iZkxBkVOhsqL8xkfQY6mTbSmMUxHUg==" saltValue="h2bZlDcoGx3UKgy1reXM+g==" spinCount="100000" sheet="1" objects="1" scenarios="1"/>
  <protectedRanges>
    <protectedRange sqref="B7 B9 B11 B13 B15 B17 B19 B21 B23 B25 B27 B29 B31 B33 B35 B37 B39 B41" name="Plage1"/>
  </protectedRanges>
  <dataConsolidate/>
  <mergeCells count="15">
    <mergeCell ref="F42:F43"/>
    <mergeCell ref="B46:B47"/>
    <mergeCell ref="C46:C47"/>
    <mergeCell ref="B48:B49"/>
    <mergeCell ref="C48:C49"/>
    <mergeCell ref="B44:B45"/>
    <mergeCell ref="C44:C45"/>
    <mergeCell ref="B4:B5"/>
    <mergeCell ref="C4:C5"/>
    <mergeCell ref="B42:B43"/>
    <mergeCell ref="C42:C43"/>
    <mergeCell ref="B50:B51"/>
    <mergeCell ref="C50:C51"/>
    <mergeCell ref="B28:C28"/>
    <mergeCell ref="B20:C20"/>
  </mergeCells>
  <conditionalFormatting sqref="C52">
    <cfRule type="expression" dxfId="4" priority="1">
      <formula>$E41="x"</formula>
    </cfRule>
  </conditionalFormatting>
  <pageMargins left="0.7" right="0.7" top="0.75" bottom="0.75" header="0.3" footer="0.3"/>
  <pageSetup paperSize="9" orientation="portrait" r:id="rId1"/>
  <ignoredErrors>
    <ignoredError sqref="C42" evalError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8">
        <x14:dataValidation type="list" allowBlank="1" showInputMessage="1" showErrorMessage="1" xr:uid="{A38666D7-46E0-454D-9D1D-894E6D9AA09D}">
          <x14:formula1>
            <xm:f>'Values Champion'!$A$106:$A$108</xm:f>
          </x14:formula1>
          <xm:sqref>B39</xm:sqref>
        </x14:dataValidation>
        <x14:dataValidation type="list" allowBlank="1" showInputMessage="1" showErrorMessage="1" xr:uid="{116248CB-BF31-4E5E-AF30-CA6FF4753E35}">
          <x14:formula1>
            <xm:f>'Values Champion'!$A$10:$A$16</xm:f>
          </x14:formula1>
          <xm:sqref>B9</xm:sqref>
        </x14:dataValidation>
        <x14:dataValidation type="list" allowBlank="1" showInputMessage="1" showErrorMessage="1" xr:uid="{C3FE83FE-69AE-45F6-918B-0B1BFDD05ADE}">
          <x14:formula1>
            <xm:f>'Values Champion'!$A$114:$A$115</xm:f>
          </x14:formula1>
          <xm:sqref>B31</xm:sqref>
        </x14:dataValidation>
        <x14:dataValidation type="list" allowBlank="1" showInputMessage="1" showErrorMessage="1" xr:uid="{7E55ABB1-3674-4154-9FFD-FFE4DAD3276D}">
          <x14:formula1>
            <xm:f>'Values Champion'!$A$120:$A$123</xm:f>
          </x14:formula1>
          <xm:sqref>B35</xm:sqref>
        </x14:dataValidation>
        <x14:dataValidation type="list" allowBlank="1" showInputMessage="1" showErrorMessage="1" xr:uid="{7E28FB85-42A8-445B-99E6-CAB17BC94346}">
          <x14:formula1>
            <xm:f>'Values Champion'!$A$125:$A$128</xm:f>
          </x14:formula1>
          <xm:sqref>B33</xm:sqref>
        </x14:dataValidation>
        <x14:dataValidation type="list" allowBlank="1" showInputMessage="1" showErrorMessage="1" xr:uid="{DD60D246-BAEA-4390-813D-1453114C529A}">
          <x14:formula1>
            <xm:f>'Values Champion'!$A$130:$A$139</xm:f>
          </x14:formula1>
          <xm:sqref>B37</xm:sqref>
        </x14:dataValidation>
        <x14:dataValidation type="list" allowBlank="1" showInputMessage="1" showErrorMessage="1" xr:uid="{884047D4-02CC-449B-9400-C04A2417A217}">
          <x14:formula1>
            <xm:f>'Values Champion'!$A$117:$A$118</xm:f>
          </x14:formula1>
          <xm:sqref>B41</xm:sqref>
        </x14:dataValidation>
        <x14:dataValidation type="list" allowBlank="1" showInputMessage="1" showErrorMessage="1" xr:uid="{56195C0A-BCA5-41AE-9610-1FF862C2A744}">
          <x14:formula1>
            <xm:f>'Values Champion'!$A$5:$A$8</xm:f>
          </x14:formula1>
          <xm:sqref>B7</xm:sqref>
        </x14:dataValidation>
        <x14:dataValidation type="list" allowBlank="1" showInputMessage="1" showErrorMessage="1" xr:uid="{3DA6F698-FA87-455B-BDE0-B7412A074A6C}">
          <x14:formula1>
            <xm:f>'Values Champion'!$A$18:$A$25</xm:f>
          </x14:formula1>
          <xm:sqref>B11</xm:sqref>
        </x14:dataValidation>
        <x14:dataValidation type="list" allowBlank="1" showInputMessage="1" showErrorMessage="1" xr:uid="{96012D66-5337-4D61-9091-30171FD6D0F6}">
          <x14:formula1>
            <xm:f>'Values Champion'!$A$40:$A$49</xm:f>
          </x14:formula1>
          <xm:sqref>B15</xm:sqref>
        </x14:dataValidation>
        <x14:dataValidation type="list" allowBlank="1" showInputMessage="1" showErrorMessage="1" xr:uid="{652C36FB-E2BC-4EE8-914B-EBBDB4E5037C}">
          <x14:formula1>
            <xm:f>'Values Champion'!$A$51:$A$60</xm:f>
          </x14:formula1>
          <xm:sqref>B17</xm:sqref>
        </x14:dataValidation>
        <x14:dataValidation type="list" allowBlank="1" showInputMessage="1" showErrorMessage="1" xr:uid="{5B966283-9F4F-4D72-B2CA-41078B398421}">
          <x14:formula1>
            <xm:f>'Values Champion'!$A$62:$A$80</xm:f>
          </x14:formula1>
          <xm:sqref>B19</xm:sqref>
        </x14:dataValidation>
        <x14:dataValidation type="list" allowBlank="1" showInputMessage="1" showErrorMessage="1" xr:uid="{EAF866FF-7346-46ED-BCCE-840952540408}">
          <x14:formula1>
            <xm:f>'Values Champion'!$A$96:$A$104</xm:f>
          </x14:formula1>
          <xm:sqref>B25</xm:sqref>
        </x14:dataValidation>
        <x14:dataValidation type="list" allowBlank="1" showInputMessage="1" showErrorMessage="1" xr:uid="{25916CDC-FAC4-4C0C-8A6B-7DD2C5A76566}">
          <x14:formula1>
            <xm:f>'Values Champion'!$A$87:$A$91</xm:f>
          </x14:formula1>
          <xm:sqref>B21</xm:sqref>
        </x14:dataValidation>
        <x14:dataValidation type="list" allowBlank="1" showInputMessage="1" showErrorMessage="1" xr:uid="{CBB5C65E-F33A-41EE-B668-7C2BF52934B8}">
          <x14:formula1>
            <xm:f>'Values Champion'!$A$27:$A$38</xm:f>
          </x14:formula1>
          <xm:sqref>B13</xm:sqref>
        </x14:dataValidation>
        <x14:dataValidation type="list" allowBlank="1" showInputMessage="1" showErrorMessage="1" xr:uid="{45C76ABD-7A9C-4467-8745-06CD5C3CD4EE}">
          <x14:formula1>
            <xm:f>'Values Champion'!$A$82:$A$85</xm:f>
          </x14:formula1>
          <xm:sqref>B23 B21</xm:sqref>
        </x14:dataValidation>
        <x14:dataValidation type="list" allowBlank="1" showInputMessage="1" showErrorMessage="1" xr:uid="{9D6FF584-943E-4F33-86EF-612BF82BFAE0}">
          <x14:formula1>
            <xm:f>'Values Champion'!$A$93:$A$94</xm:f>
          </x14:formula1>
          <xm:sqref>B27</xm:sqref>
        </x14:dataValidation>
        <x14:dataValidation type="list" allowBlank="1" showInputMessage="1" showErrorMessage="1" xr:uid="{315AD0D3-0957-4123-A504-39E4772189D8}">
          <x14:formula1>
            <xm:f>'Values Champion'!$A$110:$A$112</xm:f>
          </x14:formula1>
          <xm:sqref>B29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BB50B-3BCC-4083-BEC6-73E1DC428A13}">
  <dimension ref="A2:W158"/>
  <sheetViews>
    <sheetView topLeftCell="A79" zoomScale="85" zoomScaleNormal="85" workbookViewId="0">
      <selection activeCell="A87" sqref="A87"/>
    </sheetView>
  </sheetViews>
  <sheetFormatPr defaultColWidth="8.90625" defaultRowHeight="14.5" x14ac:dyDescent="0.35"/>
  <cols>
    <col min="1" max="1" width="20.453125" bestFit="1" customWidth="1"/>
    <col min="2" max="2" width="21.90625" bestFit="1" customWidth="1"/>
  </cols>
  <sheetData>
    <row r="2" spans="1:20" ht="15" thickBot="1" x14ac:dyDescent="0.4">
      <c r="M2" s="21"/>
    </row>
    <row r="3" spans="1:20" x14ac:dyDescent="0.35">
      <c r="A3" s="377" t="s">
        <v>25</v>
      </c>
      <c r="B3" s="378"/>
      <c r="C3" s="394" t="s">
        <v>50</v>
      </c>
      <c r="D3" s="395"/>
      <c r="E3" s="395"/>
      <c r="F3" s="395"/>
      <c r="G3" s="395"/>
      <c r="H3" s="396"/>
      <c r="M3" s="22"/>
    </row>
    <row r="4" spans="1:20" x14ac:dyDescent="0.35">
      <c r="A4" s="351" t="s">
        <v>271</v>
      </c>
      <c r="B4" s="351"/>
      <c r="C4" s="121"/>
      <c r="D4" s="122"/>
      <c r="E4" s="122"/>
      <c r="F4" s="122"/>
      <c r="G4" s="122"/>
      <c r="H4" s="123"/>
      <c r="M4" s="22"/>
    </row>
    <row r="5" spans="1:20" x14ac:dyDescent="0.35">
      <c r="A5" s="64" t="s">
        <v>1035</v>
      </c>
      <c r="B5" s="64" t="s">
        <v>272</v>
      </c>
      <c r="C5" s="139">
        <v>1</v>
      </c>
      <c r="D5" s="67"/>
      <c r="E5" s="67"/>
      <c r="F5" s="67"/>
      <c r="G5" s="67"/>
      <c r="H5" s="70"/>
      <c r="M5" s="22"/>
    </row>
    <row r="6" spans="1:20" x14ac:dyDescent="0.35">
      <c r="A6" s="64" t="s">
        <v>1036</v>
      </c>
      <c r="B6" s="64" t="s">
        <v>273</v>
      </c>
      <c r="C6" s="139">
        <v>0</v>
      </c>
      <c r="D6" s="67"/>
      <c r="E6" s="67"/>
      <c r="F6" s="67"/>
      <c r="G6" s="67"/>
      <c r="H6" s="70"/>
      <c r="M6" s="22"/>
    </row>
    <row r="7" spans="1:20" x14ac:dyDescent="0.35">
      <c r="A7" s="64" t="s">
        <v>1037</v>
      </c>
      <c r="B7" s="64" t="s">
        <v>274</v>
      </c>
      <c r="C7" s="139">
        <v>1</v>
      </c>
      <c r="D7" s="67"/>
      <c r="E7" s="67"/>
      <c r="F7" s="67"/>
      <c r="G7" s="67"/>
      <c r="H7" s="70"/>
      <c r="M7" s="22"/>
    </row>
    <row r="8" spans="1:20" x14ac:dyDescent="0.35">
      <c r="A8" s="64" t="s">
        <v>1038</v>
      </c>
      <c r="B8" s="64" t="s">
        <v>275</v>
      </c>
      <c r="C8" s="140">
        <v>0</v>
      </c>
      <c r="D8" s="68"/>
      <c r="E8" s="68"/>
      <c r="F8" s="68"/>
      <c r="G8" s="68"/>
      <c r="H8" s="71"/>
      <c r="M8" s="22"/>
    </row>
    <row r="9" spans="1:20" x14ac:dyDescent="0.35">
      <c r="A9" s="350" t="s">
        <v>24</v>
      </c>
      <c r="B9" s="351"/>
      <c r="C9" s="62" t="s">
        <v>149</v>
      </c>
      <c r="D9" s="24"/>
      <c r="E9" s="24"/>
      <c r="F9" s="24"/>
      <c r="G9" s="24"/>
      <c r="H9" s="7"/>
      <c r="M9" s="22"/>
    </row>
    <row r="10" spans="1:20" ht="15" thickBot="1" x14ac:dyDescent="0.4">
      <c r="A10" s="78" t="s">
        <v>4</v>
      </c>
      <c r="B10" s="29" t="s">
        <v>152</v>
      </c>
      <c r="C10" s="1">
        <f>360-40</f>
        <v>320</v>
      </c>
      <c r="D10" s="49"/>
      <c r="E10" s="4"/>
      <c r="F10" s="4"/>
      <c r="G10" s="4"/>
      <c r="H10" s="2"/>
      <c r="L10" s="18"/>
      <c r="M10" s="18"/>
      <c r="N10" s="18"/>
    </row>
    <row r="11" spans="1:20" ht="14.4" customHeight="1" x14ac:dyDescent="0.35">
      <c r="A11" s="78" t="s">
        <v>5</v>
      </c>
      <c r="B11" s="29" t="s">
        <v>153</v>
      </c>
      <c r="C11" s="1">
        <f>380-40</f>
        <v>340</v>
      </c>
      <c r="D11" s="49"/>
      <c r="E11" s="4"/>
      <c r="F11" s="4"/>
      <c r="G11" s="8"/>
      <c r="H11" s="38"/>
      <c r="I11" s="18"/>
      <c r="J11" s="356" t="s">
        <v>143</v>
      </c>
      <c r="K11" s="357"/>
      <c r="L11" s="357"/>
      <c r="M11" s="357"/>
      <c r="N11" s="357"/>
      <c r="O11" s="357"/>
      <c r="P11" s="358"/>
    </row>
    <row r="12" spans="1:20" ht="14.4" customHeight="1" x14ac:dyDescent="0.35">
      <c r="A12" s="78" t="s">
        <v>6</v>
      </c>
      <c r="B12" s="29" t="s">
        <v>154</v>
      </c>
      <c r="C12" s="1">
        <f>400-40</f>
        <v>360</v>
      </c>
      <c r="D12" s="49"/>
      <c r="E12" s="4"/>
      <c r="F12" s="4"/>
      <c r="G12" s="4"/>
      <c r="H12" s="2"/>
      <c r="J12" s="359"/>
      <c r="K12" s="360"/>
      <c r="L12" s="360"/>
      <c r="M12" s="360"/>
      <c r="N12" s="360"/>
      <c r="O12" s="360"/>
      <c r="P12" s="361"/>
    </row>
    <row r="13" spans="1:20" ht="14.4" customHeight="1" thickBot="1" x14ac:dyDescent="0.4">
      <c r="A13" s="78" t="s">
        <v>16</v>
      </c>
      <c r="B13" s="29" t="s">
        <v>155</v>
      </c>
      <c r="C13" s="1">
        <f>420-40</f>
        <v>380</v>
      </c>
      <c r="D13" s="49"/>
      <c r="E13" s="4"/>
      <c r="F13" s="4"/>
      <c r="G13" s="4"/>
      <c r="H13" s="2"/>
      <c r="J13" s="362"/>
      <c r="K13" s="363"/>
      <c r="L13" s="363"/>
      <c r="M13" s="363"/>
      <c r="N13" s="363"/>
      <c r="O13" s="363"/>
      <c r="P13" s="364"/>
    </row>
    <row r="14" spans="1:20" x14ac:dyDescent="0.35">
      <c r="A14" s="78" t="s">
        <v>17</v>
      </c>
      <c r="B14" s="29" t="s">
        <v>156</v>
      </c>
      <c r="C14" s="1">
        <f>440-40</f>
        <v>400</v>
      </c>
      <c r="D14" s="49"/>
      <c r="E14" s="4"/>
      <c r="F14" s="4"/>
      <c r="G14" s="4"/>
      <c r="H14" s="2"/>
      <c r="T14" s="20"/>
    </row>
    <row r="15" spans="1:20" x14ac:dyDescent="0.35">
      <c r="A15" s="78" t="s">
        <v>19</v>
      </c>
      <c r="B15" s="29" t="s">
        <v>157</v>
      </c>
      <c r="C15" s="1">
        <f>460-40</f>
        <v>420</v>
      </c>
      <c r="D15" s="49"/>
      <c r="E15" s="4"/>
      <c r="F15" s="4"/>
      <c r="G15" s="4"/>
      <c r="H15" s="2"/>
      <c r="J15" s="19"/>
    </row>
    <row r="16" spans="1:20" x14ac:dyDescent="0.35">
      <c r="A16" s="80" t="s">
        <v>21</v>
      </c>
      <c r="B16" s="34" t="s">
        <v>158</v>
      </c>
      <c r="C16" s="120">
        <f>480-40</f>
        <v>440</v>
      </c>
      <c r="D16" s="50"/>
      <c r="E16" s="5"/>
      <c r="F16" s="5"/>
      <c r="G16" s="5"/>
      <c r="H16" s="3"/>
    </row>
    <row r="17" spans="1:8" x14ac:dyDescent="0.35">
      <c r="A17" s="350" t="s">
        <v>276</v>
      </c>
      <c r="B17" s="351"/>
      <c r="C17" s="37" t="s">
        <v>418</v>
      </c>
      <c r="D17" s="84" t="s">
        <v>437</v>
      </c>
      <c r="E17" s="84" t="s">
        <v>423</v>
      </c>
      <c r="F17" s="24"/>
      <c r="G17" s="24"/>
      <c r="H17" s="7"/>
    </row>
    <row r="18" spans="1:8" x14ac:dyDescent="0.35">
      <c r="A18" s="78" t="s">
        <v>277</v>
      </c>
      <c r="B18" s="29" t="s">
        <v>285</v>
      </c>
      <c r="C18" s="124">
        <v>325</v>
      </c>
      <c r="D18" s="129">
        <v>92.35</v>
      </c>
      <c r="E18" s="4">
        <v>0</v>
      </c>
      <c r="F18" s="4"/>
      <c r="G18" s="4"/>
      <c r="H18" s="2"/>
    </row>
    <row r="19" spans="1:8" x14ac:dyDescent="0.35">
      <c r="A19" s="78" t="s">
        <v>278</v>
      </c>
      <c r="B19" s="29" t="s">
        <v>286</v>
      </c>
      <c r="C19" s="30">
        <v>345</v>
      </c>
      <c r="D19" s="129">
        <v>72.349999999999994</v>
      </c>
      <c r="E19" s="4">
        <v>2</v>
      </c>
      <c r="F19" s="4"/>
      <c r="G19" s="4"/>
      <c r="H19" s="2"/>
    </row>
    <row r="20" spans="1:8" x14ac:dyDescent="0.35">
      <c r="A20" s="78" t="s">
        <v>279</v>
      </c>
      <c r="B20" s="29" t="s">
        <v>292</v>
      </c>
      <c r="C20" s="128">
        <v>365</v>
      </c>
      <c r="D20" s="130">
        <v>52.35</v>
      </c>
      <c r="E20" s="4">
        <v>3.7</v>
      </c>
      <c r="F20" s="4"/>
      <c r="G20" s="4"/>
      <c r="H20" s="2"/>
    </row>
    <row r="21" spans="1:8" x14ac:dyDescent="0.35">
      <c r="A21" s="78" t="s">
        <v>280</v>
      </c>
      <c r="B21" s="29" t="s">
        <v>291</v>
      </c>
      <c r="C21" s="128">
        <v>385</v>
      </c>
      <c r="D21" s="130">
        <v>32.35</v>
      </c>
      <c r="E21" s="8">
        <v>5.2</v>
      </c>
      <c r="F21" s="4"/>
      <c r="G21" s="4"/>
      <c r="H21" s="2"/>
    </row>
    <row r="22" spans="1:8" x14ac:dyDescent="0.35">
      <c r="A22" s="78" t="s">
        <v>281</v>
      </c>
      <c r="B22" s="29" t="s">
        <v>290</v>
      </c>
      <c r="C22" s="128">
        <v>405</v>
      </c>
      <c r="D22" s="130">
        <v>32.35</v>
      </c>
      <c r="E22" s="8">
        <v>5.2</v>
      </c>
      <c r="F22" s="4"/>
      <c r="G22" s="4"/>
      <c r="H22" s="2"/>
    </row>
    <row r="23" spans="1:8" x14ac:dyDescent="0.35">
      <c r="A23" s="78" t="s">
        <v>282</v>
      </c>
      <c r="B23" s="29" t="s">
        <v>289</v>
      </c>
      <c r="C23" s="30">
        <v>425</v>
      </c>
      <c r="D23" s="130">
        <v>32.35</v>
      </c>
      <c r="E23" s="8">
        <v>5.2</v>
      </c>
      <c r="F23" s="4"/>
      <c r="G23" s="4"/>
      <c r="H23" s="2"/>
    </row>
    <row r="24" spans="1:8" x14ac:dyDescent="0.35">
      <c r="A24" s="78" t="s">
        <v>283</v>
      </c>
      <c r="B24" s="29" t="s">
        <v>288</v>
      </c>
      <c r="C24" s="30">
        <v>445</v>
      </c>
      <c r="D24" s="130">
        <v>32.35</v>
      </c>
      <c r="E24" s="8">
        <v>5.2</v>
      </c>
      <c r="F24" s="4"/>
      <c r="G24" s="4"/>
      <c r="H24" s="2"/>
    </row>
    <row r="25" spans="1:8" x14ac:dyDescent="0.35">
      <c r="A25" s="80" t="s">
        <v>284</v>
      </c>
      <c r="B25" s="34" t="s">
        <v>287</v>
      </c>
      <c r="C25" s="125">
        <v>465</v>
      </c>
      <c r="D25" s="130">
        <v>32.35</v>
      </c>
      <c r="E25" s="5">
        <v>5.2</v>
      </c>
      <c r="F25" s="5"/>
      <c r="G25" s="5"/>
      <c r="H25" s="3"/>
    </row>
    <row r="26" spans="1:8" x14ac:dyDescent="0.35">
      <c r="A26" s="350" t="s">
        <v>293</v>
      </c>
      <c r="B26" s="351"/>
      <c r="C26" s="153" t="s">
        <v>474</v>
      </c>
      <c r="D26" s="57"/>
      <c r="E26" s="24"/>
      <c r="F26" s="24"/>
      <c r="G26" s="24"/>
      <c r="H26" s="7"/>
    </row>
    <row r="27" spans="1:8" x14ac:dyDescent="0.35">
      <c r="A27" s="78" t="s">
        <v>294</v>
      </c>
      <c r="B27" s="29" t="s">
        <v>306</v>
      </c>
      <c r="C27" s="30">
        <v>300</v>
      </c>
      <c r="D27" s="8"/>
      <c r="E27" s="4"/>
      <c r="F27" s="4"/>
      <c r="G27" s="4"/>
      <c r="H27" s="2"/>
    </row>
    <row r="28" spans="1:8" x14ac:dyDescent="0.35">
      <c r="A28" s="78" t="s">
        <v>295</v>
      </c>
      <c r="B28" s="29" t="s">
        <v>307</v>
      </c>
      <c r="C28" s="30">
        <v>315</v>
      </c>
      <c r="D28" s="8"/>
      <c r="E28" s="4"/>
      <c r="F28" s="4"/>
      <c r="G28" s="4"/>
      <c r="H28" s="2"/>
    </row>
    <row r="29" spans="1:8" x14ac:dyDescent="0.35">
      <c r="A29" s="78" t="s">
        <v>296</v>
      </c>
      <c r="B29" s="29" t="s">
        <v>308</v>
      </c>
      <c r="C29" s="30">
        <v>330</v>
      </c>
      <c r="D29" s="8"/>
      <c r="E29" s="4"/>
      <c r="F29" s="4"/>
      <c r="G29" s="4"/>
      <c r="H29" s="2"/>
    </row>
    <row r="30" spans="1:8" x14ac:dyDescent="0.35">
      <c r="A30" s="78" t="s">
        <v>297</v>
      </c>
      <c r="B30" s="29" t="s">
        <v>309</v>
      </c>
      <c r="C30" s="30">
        <v>345</v>
      </c>
      <c r="D30" s="8"/>
      <c r="E30" s="4"/>
      <c r="F30" s="4"/>
      <c r="G30" s="4"/>
      <c r="H30" s="2"/>
    </row>
    <row r="31" spans="1:8" x14ac:dyDescent="0.35">
      <c r="A31" s="78" t="s">
        <v>298</v>
      </c>
      <c r="B31" s="29" t="s">
        <v>310</v>
      </c>
      <c r="C31" s="1">
        <v>360</v>
      </c>
      <c r="D31" s="4"/>
      <c r="E31" s="4"/>
      <c r="F31" s="4"/>
      <c r="G31" s="4"/>
      <c r="H31" s="2"/>
    </row>
    <row r="32" spans="1:8" x14ac:dyDescent="0.35">
      <c r="A32" s="78" t="s">
        <v>299</v>
      </c>
      <c r="B32" s="29" t="s">
        <v>311</v>
      </c>
      <c r="C32" s="1">
        <v>375</v>
      </c>
      <c r="D32" s="4"/>
      <c r="E32" s="4"/>
      <c r="F32" s="4"/>
      <c r="G32" s="4"/>
      <c r="H32" s="2"/>
    </row>
    <row r="33" spans="1:8" x14ac:dyDescent="0.35">
      <c r="A33" s="78" t="s">
        <v>300</v>
      </c>
      <c r="B33" s="29" t="s">
        <v>312</v>
      </c>
      <c r="C33" s="1">
        <v>390</v>
      </c>
      <c r="D33" s="4"/>
      <c r="E33" s="4"/>
      <c r="F33" s="4"/>
      <c r="G33" s="4"/>
      <c r="H33" s="2"/>
    </row>
    <row r="34" spans="1:8" x14ac:dyDescent="0.35">
      <c r="A34" s="78" t="s">
        <v>301</v>
      </c>
      <c r="B34" s="29" t="s">
        <v>313</v>
      </c>
      <c r="C34" s="1">
        <v>405</v>
      </c>
      <c r="D34" s="4"/>
      <c r="E34" s="4"/>
      <c r="F34" s="4"/>
      <c r="G34" s="4"/>
      <c r="H34" s="2"/>
    </row>
    <row r="35" spans="1:8" x14ac:dyDescent="0.35">
      <c r="A35" s="78" t="s">
        <v>302</v>
      </c>
      <c r="B35" s="29" t="s">
        <v>314</v>
      </c>
      <c r="C35" s="1">
        <v>420</v>
      </c>
      <c r="D35" s="4"/>
      <c r="E35" s="4"/>
      <c r="F35" s="4"/>
      <c r="G35" s="4"/>
      <c r="H35" s="2"/>
    </row>
    <row r="36" spans="1:8" x14ac:dyDescent="0.35">
      <c r="A36" s="78" t="s">
        <v>303</v>
      </c>
      <c r="B36" s="29" t="s">
        <v>315</v>
      </c>
      <c r="C36" s="1">
        <v>435</v>
      </c>
      <c r="D36" s="4"/>
      <c r="E36" s="4"/>
      <c r="F36" s="4"/>
      <c r="G36" s="4"/>
      <c r="H36" s="2"/>
    </row>
    <row r="37" spans="1:8" x14ac:dyDescent="0.35">
      <c r="A37" s="78" t="s">
        <v>304</v>
      </c>
      <c r="B37" s="29" t="s">
        <v>316</v>
      </c>
      <c r="C37" s="1">
        <v>450</v>
      </c>
      <c r="D37" s="4"/>
      <c r="E37" s="4"/>
      <c r="F37" s="4"/>
      <c r="G37" s="4"/>
      <c r="H37" s="2"/>
    </row>
    <row r="38" spans="1:8" x14ac:dyDescent="0.35">
      <c r="A38" s="80" t="s">
        <v>305</v>
      </c>
      <c r="B38" s="34" t="s">
        <v>317</v>
      </c>
      <c r="C38" s="120">
        <v>465</v>
      </c>
      <c r="D38" s="5"/>
      <c r="E38" s="5"/>
      <c r="F38" s="5"/>
      <c r="G38" s="5"/>
      <c r="H38" s="3"/>
    </row>
    <row r="39" spans="1:8" x14ac:dyDescent="0.35">
      <c r="A39" s="350" t="s">
        <v>318</v>
      </c>
      <c r="B39" s="351"/>
      <c r="C39" s="23" t="s">
        <v>478</v>
      </c>
      <c r="D39" s="24"/>
      <c r="E39" s="24"/>
      <c r="F39" s="24"/>
      <c r="G39" s="24"/>
      <c r="H39" s="7"/>
    </row>
    <row r="40" spans="1:8" x14ac:dyDescent="0.35">
      <c r="A40" s="78" t="s">
        <v>319</v>
      </c>
      <c r="B40" s="29" t="s">
        <v>329</v>
      </c>
      <c r="C40" s="1">
        <v>450</v>
      </c>
      <c r="D40" s="4"/>
      <c r="E40" s="4"/>
      <c r="F40" s="4"/>
      <c r="G40" s="4"/>
      <c r="H40" s="2"/>
    </row>
    <row r="41" spans="1:8" x14ac:dyDescent="0.35">
      <c r="A41" s="78" t="s">
        <v>320</v>
      </c>
      <c r="B41" s="29" t="s">
        <v>330</v>
      </c>
      <c r="C41" s="1">
        <v>460</v>
      </c>
      <c r="D41" s="4"/>
      <c r="E41" s="4"/>
      <c r="F41" s="4"/>
      <c r="G41" s="4"/>
      <c r="H41" s="2"/>
    </row>
    <row r="42" spans="1:8" x14ac:dyDescent="0.35">
      <c r="A42" s="78" t="s">
        <v>321</v>
      </c>
      <c r="B42" s="29" t="s">
        <v>331</v>
      </c>
      <c r="C42" s="1">
        <v>470</v>
      </c>
      <c r="D42" s="4"/>
      <c r="E42" s="4"/>
      <c r="F42" s="4"/>
      <c r="G42" s="4"/>
      <c r="H42" s="2"/>
    </row>
    <row r="43" spans="1:8" x14ac:dyDescent="0.35">
      <c r="A43" s="78" t="s">
        <v>322</v>
      </c>
      <c r="B43" s="29" t="s">
        <v>332</v>
      </c>
      <c r="C43" s="1">
        <v>480</v>
      </c>
      <c r="D43" s="4"/>
      <c r="E43" s="4"/>
      <c r="F43" s="4"/>
      <c r="G43" s="4"/>
      <c r="H43" s="2"/>
    </row>
    <row r="44" spans="1:8" x14ac:dyDescent="0.35">
      <c r="A44" s="78" t="s">
        <v>323</v>
      </c>
      <c r="B44" s="29" t="s">
        <v>333</v>
      </c>
      <c r="C44" s="1">
        <v>490</v>
      </c>
      <c r="D44" s="4"/>
      <c r="E44" s="4"/>
      <c r="F44" s="4"/>
      <c r="G44" s="4"/>
      <c r="H44" s="2"/>
    </row>
    <row r="45" spans="1:8" x14ac:dyDescent="0.35">
      <c r="A45" s="78" t="s">
        <v>324</v>
      </c>
      <c r="B45" s="29" t="s">
        <v>334</v>
      </c>
      <c r="C45" s="1">
        <v>500</v>
      </c>
      <c r="D45" s="4"/>
      <c r="E45" s="4"/>
      <c r="F45" s="4"/>
      <c r="G45" s="4"/>
      <c r="H45" s="2"/>
    </row>
    <row r="46" spans="1:8" x14ac:dyDescent="0.35">
      <c r="A46" s="78" t="s">
        <v>325</v>
      </c>
      <c r="B46" s="29" t="s">
        <v>335</v>
      </c>
      <c r="C46" s="1">
        <v>510</v>
      </c>
      <c r="D46" s="4"/>
      <c r="E46" s="4"/>
      <c r="F46" s="4"/>
      <c r="G46" s="4"/>
      <c r="H46" s="2"/>
    </row>
    <row r="47" spans="1:8" x14ac:dyDescent="0.35">
      <c r="A47" s="78" t="s">
        <v>326</v>
      </c>
      <c r="B47" s="29" t="s">
        <v>336</v>
      </c>
      <c r="C47" s="1">
        <v>520</v>
      </c>
      <c r="D47" s="4"/>
      <c r="E47" s="4"/>
      <c r="F47" s="4"/>
      <c r="G47" s="4"/>
      <c r="H47" s="2"/>
    </row>
    <row r="48" spans="1:8" x14ac:dyDescent="0.35">
      <c r="A48" s="78" t="s">
        <v>327</v>
      </c>
      <c r="B48" s="29" t="s">
        <v>337</v>
      </c>
      <c r="C48" s="1">
        <v>530</v>
      </c>
      <c r="D48" s="4"/>
      <c r="E48" s="4"/>
      <c r="F48" s="4"/>
      <c r="G48" s="4"/>
      <c r="H48" s="2"/>
    </row>
    <row r="49" spans="1:8" x14ac:dyDescent="0.35">
      <c r="A49" s="80" t="s">
        <v>328</v>
      </c>
      <c r="B49" s="34" t="s">
        <v>338</v>
      </c>
      <c r="C49" s="1">
        <v>540</v>
      </c>
      <c r="D49" s="5"/>
      <c r="E49" s="5"/>
      <c r="F49" s="5"/>
      <c r="G49" s="5"/>
      <c r="H49" s="3"/>
    </row>
    <row r="50" spans="1:8" x14ac:dyDescent="0.35">
      <c r="A50" s="350" t="s">
        <v>339</v>
      </c>
      <c r="B50" s="351"/>
      <c r="C50" s="23" t="s">
        <v>479</v>
      </c>
      <c r="D50" s="24"/>
      <c r="E50" s="24"/>
      <c r="F50" s="24"/>
      <c r="G50" s="24"/>
      <c r="H50" s="7"/>
    </row>
    <row r="51" spans="1:8" x14ac:dyDescent="0.35">
      <c r="A51" s="78" t="s">
        <v>340</v>
      </c>
      <c r="B51" s="29" t="s">
        <v>342</v>
      </c>
      <c r="C51" s="1">
        <v>390</v>
      </c>
      <c r="D51" s="4"/>
      <c r="E51" s="4"/>
      <c r="F51" s="4"/>
      <c r="G51" s="4"/>
      <c r="H51" s="2"/>
    </row>
    <row r="52" spans="1:8" x14ac:dyDescent="0.35">
      <c r="A52" s="78" t="s">
        <v>341</v>
      </c>
      <c r="B52" s="29" t="s">
        <v>343</v>
      </c>
      <c r="C52" s="1">
        <v>400</v>
      </c>
      <c r="D52" s="4"/>
      <c r="E52" s="4"/>
      <c r="F52" s="4"/>
      <c r="G52" s="4"/>
      <c r="H52" s="2"/>
    </row>
    <row r="53" spans="1:8" x14ac:dyDescent="0.35">
      <c r="A53" s="78" t="s">
        <v>344</v>
      </c>
      <c r="B53" s="29" t="s">
        <v>345</v>
      </c>
      <c r="C53" s="1">
        <v>410</v>
      </c>
      <c r="D53" s="4"/>
      <c r="E53" s="4"/>
      <c r="F53" s="4"/>
      <c r="G53" s="4"/>
      <c r="H53" s="2"/>
    </row>
    <row r="54" spans="1:8" x14ac:dyDescent="0.35">
      <c r="A54" s="78" t="s">
        <v>346</v>
      </c>
      <c r="B54" s="29" t="s">
        <v>347</v>
      </c>
      <c r="C54" s="1">
        <v>420</v>
      </c>
      <c r="D54" s="4"/>
      <c r="E54" s="4"/>
      <c r="F54" s="4"/>
      <c r="G54" s="4"/>
      <c r="H54" s="2"/>
    </row>
    <row r="55" spans="1:8" x14ac:dyDescent="0.35">
      <c r="A55" s="78" t="s">
        <v>348</v>
      </c>
      <c r="B55" s="29" t="s">
        <v>349</v>
      </c>
      <c r="C55" s="1">
        <v>430</v>
      </c>
      <c r="D55" s="4"/>
      <c r="E55" s="4"/>
      <c r="F55" s="4"/>
      <c r="G55" s="4"/>
      <c r="H55" s="2"/>
    </row>
    <row r="56" spans="1:8" x14ac:dyDescent="0.35">
      <c r="A56" s="78" t="s">
        <v>350</v>
      </c>
      <c r="B56" s="29" t="s">
        <v>351</v>
      </c>
      <c r="C56" s="1">
        <v>440</v>
      </c>
      <c r="D56" s="4"/>
      <c r="E56" s="4"/>
      <c r="F56" s="4"/>
      <c r="G56" s="4"/>
      <c r="H56" s="2"/>
    </row>
    <row r="57" spans="1:8" x14ac:dyDescent="0.35">
      <c r="A57" s="78" t="s">
        <v>352</v>
      </c>
      <c r="B57" s="29" t="s">
        <v>353</v>
      </c>
      <c r="C57" s="1">
        <v>450</v>
      </c>
      <c r="D57" s="4"/>
      <c r="E57" s="4"/>
      <c r="F57" s="4"/>
      <c r="G57" s="4"/>
      <c r="H57" s="2"/>
    </row>
    <row r="58" spans="1:8" x14ac:dyDescent="0.35">
      <c r="A58" s="78" t="s">
        <v>354</v>
      </c>
      <c r="B58" s="29" t="s">
        <v>355</v>
      </c>
      <c r="C58" s="1">
        <v>460</v>
      </c>
      <c r="D58" s="4"/>
      <c r="E58" s="4"/>
      <c r="F58" s="4"/>
      <c r="G58" s="4"/>
      <c r="H58" s="2"/>
    </row>
    <row r="59" spans="1:8" x14ac:dyDescent="0.35">
      <c r="A59" s="78" t="s">
        <v>356</v>
      </c>
      <c r="B59" s="29" t="s">
        <v>357</v>
      </c>
      <c r="C59" s="1">
        <v>470</v>
      </c>
      <c r="D59" s="4"/>
      <c r="E59" s="4"/>
      <c r="F59" s="4"/>
      <c r="G59" s="4"/>
      <c r="H59" s="2"/>
    </row>
    <row r="60" spans="1:8" x14ac:dyDescent="0.35">
      <c r="A60" s="78" t="s">
        <v>358</v>
      </c>
      <c r="B60" s="29" t="s">
        <v>359</v>
      </c>
      <c r="C60" s="1">
        <v>480</v>
      </c>
      <c r="D60" s="5"/>
      <c r="E60" s="5"/>
      <c r="F60" s="5"/>
      <c r="G60" s="5"/>
      <c r="H60" s="3"/>
    </row>
    <row r="61" spans="1:8" x14ac:dyDescent="0.35">
      <c r="A61" s="350" t="s">
        <v>360</v>
      </c>
      <c r="B61" s="351"/>
      <c r="C61" s="23" t="s">
        <v>440</v>
      </c>
      <c r="D61" s="84" t="s">
        <v>438</v>
      </c>
      <c r="E61" s="24"/>
      <c r="G61" s="24"/>
      <c r="H61" s="7"/>
    </row>
    <row r="62" spans="1:8" x14ac:dyDescent="0.35">
      <c r="A62" s="78" t="s">
        <v>361</v>
      </c>
      <c r="B62" s="29" t="s">
        <v>371</v>
      </c>
      <c r="C62" s="1">
        <v>320</v>
      </c>
      <c r="D62" s="8">
        <v>0</v>
      </c>
      <c r="E62" s="4"/>
      <c r="G62" s="4"/>
      <c r="H62" s="2"/>
    </row>
    <row r="63" spans="1:8" x14ac:dyDescent="0.35">
      <c r="A63" s="78" t="s">
        <v>381</v>
      </c>
      <c r="B63" s="29" t="s">
        <v>372</v>
      </c>
      <c r="C63" s="1">
        <v>330</v>
      </c>
      <c r="D63" s="8">
        <v>2.6</v>
      </c>
      <c r="E63" s="4"/>
      <c r="G63" s="4"/>
      <c r="H63" s="2"/>
    </row>
    <row r="64" spans="1:8" x14ac:dyDescent="0.35">
      <c r="A64" s="78" t="s">
        <v>362</v>
      </c>
      <c r="B64" s="29" t="s">
        <v>373</v>
      </c>
      <c r="C64" s="1">
        <v>340</v>
      </c>
      <c r="D64" s="8">
        <f>D63+2.6</f>
        <v>5.2</v>
      </c>
      <c r="E64" s="4"/>
      <c r="F64" s="4"/>
      <c r="G64" s="4"/>
      <c r="H64" s="2"/>
    </row>
    <row r="65" spans="1:23" x14ac:dyDescent="0.35">
      <c r="A65" s="78" t="s">
        <v>382</v>
      </c>
      <c r="B65" s="29" t="s">
        <v>374</v>
      </c>
      <c r="C65" s="1">
        <v>350</v>
      </c>
      <c r="D65" s="8">
        <f>D64+2.6</f>
        <v>7.8000000000000007</v>
      </c>
      <c r="E65" s="4"/>
      <c r="F65" s="4"/>
      <c r="G65" s="4"/>
      <c r="H65" s="2"/>
    </row>
    <row r="66" spans="1:23" x14ac:dyDescent="0.35">
      <c r="A66" s="78" t="s">
        <v>363</v>
      </c>
      <c r="B66" s="29" t="s">
        <v>375</v>
      </c>
      <c r="C66" s="1">
        <v>360</v>
      </c>
      <c r="D66" s="8">
        <f t="shared" ref="D66:D80" si="0">D65+2.6</f>
        <v>10.4</v>
      </c>
      <c r="E66" s="4"/>
      <c r="F66" s="4"/>
      <c r="G66" s="4"/>
      <c r="H66" s="2"/>
    </row>
    <row r="67" spans="1:23" x14ac:dyDescent="0.35">
      <c r="A67" s="78" t="s">
        <v>383</v>
      </c>
      <c r="B67" s="29" t="s">
        <v>376</v>
      </c>
      <c r="C67" s="1">
        <v>370</v>
      </c>
      <c r="D67" s="8">
        <f t="shared" si="0"/>
        <v>13</v>
      </c>
      <c r="E67" s="4"/>
      <c r="F67" s="4"/>
      <c r="G67" s="4"/>
      <c r="H67" s="2"/>
    </row>
    <row r="68" spans="1:23" x14ac:dyDescent="0.35">
      <c r="A68" s="78" t="s">
        <v>364</v>
      </c>
      <c r="B68" s="29" t="s">
        <v>377</v>
      </c>
      <c r="C68" s="1">
        <v>380</v>
      </c>
      <c r="D68" s="8">
        <f t="shared" si="0"/>
        <v>15.6</v>
      </c>
      <c r="E68" s="4"/>
      <c r="F68" s="4"/>
      <c r="G68" s="4"/>
      <c r="H68" s="2"/>
    </row>
    <row r="69" spans="1:23" x14ac:dyDescent="0.35">
      <c r="A69" s="78" t="s">
        <v>384</v>
      </c>
      <c r="B69" s="29" t="s">
        <v>378</v>
      </c>
      <c r="C69" s="1">
        <v>390</v>
      </c>
      <c r="D69" s="8">
        <f t="shared" si="0"/>
        <v>18.2</v>
      </c>
      <c r="E69" s="4"/>
      <c r="F69" s="4"/>
      <c r="G69" s="4"/>
      <c r="H69" s="2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x14ac:dyDescent="0.35">
      <c r="A70" s="78" t="s">
        <v>365</v>
      </c>
      <c r="B70" s="29" t="s">
        <v>379</v>
      </c>
      <c r="C70" s="1">
        <v>400</v>
      </c>
      <c r="D70" s="8">
        <f t="shared" si="0"/>
        <v>20.8</v>
      </c>
      <c r="E70" s="4"/>
      <c r="F70" s="4"/>
      <c r="G70" s="4"/>
      <c r="H70" s="2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9" x14ac:dyDescent="0.35">
      <c r="A71" s="78" t="s">
        <v>385</v>
      </c>
      <c r="B71" s="29" t="s">
        <v>380</v>
      </c>
      <c r="C71" s="1">
        <v>410</v>
      </c>
      <c r="D71" s="8">
        <f t="shared" si="0"/>
        <v>23.400000000000002</v>
      </c>
      <c r="E71" s="4"/>
      <c r="F71" s="4"/>
      <c r="G71" s="4"/>
      <c r="H71" s="2"/>
      <c r="K71" s="4"/>
      <c r="L71" s="150"/>
      <c r="M71" s="149"/>
      <c r="N71" s="148"/>
      <c r="O71" s="147"/>
      <c r="P71" s="112"/>
      <c r="Q71" s="112"/>
      <c r="R71" s="112"/>
      <c r="S71" s="112"/>
      <c r="T71" s="150"/>
      <c r="U71" s="149"/>
      <c r="V71" s="4"/>
      <c r="W71" s="4"/>
    </row>
    <row r="72" spans="1:23" ht="19" x14ac:dyDescent="0.35">
      <c r="A72" s="78" t="s">
        <v>366</v>
      </c>
      <c r="B72" s="29" t="s">
        <v>386</v>
      </c>
      <c r="C72" s="1">
        <v>420</v>
      </c>
      <c r="D72" s="8">
        <f t="shared" si="0"/>
        <v>26.000000000000004</v>
      </c>
      <c r="E72" s="4"/>
      <c r="F72" s="4"/>
      <c r="G72" s="4"/>
      <c r="H72" s="2"/>
      <c r="K72" s="4"/>
      <c r="L72" s="147"/>
      <c r="M72" s="147"/>
      <c r="N72" s="148"/>
      <c r="O72" s="147"/>
      <c r="P72" s="112"/>
      <c r="Q72" s="112"/>
      <c r="R72" s="112"/>
      <c r="S72" s="112"/>
      <c r="T72" s="147"/>
      <c r="U72" s="147"/>
      <c r="V72" s="4"/>
      <c r="W72" s="4"/>
    </row>
    <row r="73" spans="1:23" ht="19" x14ac:dyDescent="0.35">
      <c r="A73" s="78" t="s">
        <v>387</v>
      </c>
      <c r="B73" s="29" t="s">
        <v>388</v>
      </c>
      <c r="C73" s="1">
        <v>430</v>
      </c>
      <c r="D73" s="8">
        <f t="shared" si="0"/>
        <v>28.600000000000005</v>
      </c>
      <c r="E73" s="4"/>
      <c r="F73" s="4"/>
      <c r="G73" s="4"/>
      <c r="H73" s="2"/>
      <c r="K73" s="4"/>
      <c r="L73" s="147"/>
      <c r="M73" s="147"/>
      <c r="N73" s="148"/>
      <c r="O73" s="147"/>
      <c r="P73" s="112"/>
      <c r="Q73" s="112"/>
      <c r="R73" s="112"/>
      <c r="S73" s="112"/>
      <c r="T73" s="147"/>
      <c r="U73" s="147"/>
      <c r="V73" s="4"/>
      <c r="W73" s="4"/>
    </row>
    <row r="74" spans="1:23" ht="19" x14ac:dyDescent="0.35">
      <c r="A74" s="78" t="s">
        <v>367</v>
      </c>
      <c r="B74" s="29" t="s">
        <v>389</v>
      </c>
      <c r="C74" s="1">
        <v>440</v>
      </c>
      <c r="D74" s="8">
        <f t="shared" si="0"/>
        <v>31.200000000000006</v>
      </c>
      <c r="E74" s="4"/>
      <c r="F74" s="4"/>
      <c r="G74" s="4"/>
      <c r="H74" s="2"/>
      <c r="K74" s="4"/>
      <c r="L74" s="147"/>
      <c r="M74" s="147"/>
      <c r="N74" s="148"/>
      <c r="O74" s="147"/>
      <c r="P74" s="151"/>
      <c r="Q74" s="112"/>
      <c r="R74" s="112"/>
      <c r="S74" s="112"/>
      <c r="T74" s="147"/>
      <c r="U74" s="147"/>
      <c r="V74" s="4"/>
      <c r="W74" s="4"/>
    </row>
    <row r="75" spans="1:23" ht="19" x14ac:dyDescent="0.35">
      <c r="A75" s="78" t="s">
        <v>390</v>
      </c>
      <c r="B75" s="29" t="s">
        <v>391</v>
      </c>
      <c r="C75" s="1">
        <v>450</v>
      </c>
      <c r="D75" s="8">
        <f t="shared" si="0"/>
        <v>33.800000000000004</v>
      </c>
      <c r="E75" s="4"/>
      <c r="F75" s="4"/>
      <c r="G75" s="4"/>
      <c r="H75" s="2"/>
      <c r="K75" s="4"/>
      <c r="L75" s="147"/>
      <c r="M75" s="147"/>
      <c r="N75" s="148"/>
      <c r="O75" s="147"/>
      <c r="P75" s="151"/>
      <c r="Q75" s="112"/>
      <c r="R75" s="112"/>
      <c r="S75" s="112"/>
      <c r="T75" s="147"/>
      <c r="U75" s="147"/>
      <c r="V75" s="4"/>
      <c r="W75" s="4"/>
    </row>
    <row r="76" spans="1:23" ht="19" x14ac:dyDescent="0.35">
      <c r="A76" s="78" t="s">
        <v>368</v>
      </c>
      <c r="B76" s="29" t="s">
        <v>393</v>
      </c>
      <c r="C76" s="1">
        <v>460</v>
      </c>
      <c r="D76" s="8">
        <f t="shared" si="0"/>
        <v>36.400000000000006</v>
      </c>
      <c r="E76" s="4"/>
      <c r="F76" s="4"/>
      <c r="G76" s="4"/>
      <c r="H76" s="2"/>
      <c r="K76" s="4"/>
      <c r="L76" s="147"/>
      <c r="M76" s="147"/>
      <c r="N76" s="148"/>
      <c r="O76" s="147"/>
      <c r="P76" s="86"/>
      <c r="Q76" s="86"/>
      <c r="R76" s="86"/>
      <c r="S76" s="86"/>
      <c r="T76" s="86"/>
      <c r="U76" s="86"/>
      <c r="V76" s="86"/>
      <c r="W76" s="4"/>
    </row>
    <row r="77" spans="1:23" ht="19" x14ac:dyDescent="0.35">
      <c r="A77" s="78" t="s">
        <v>392</v>
      </c>
      <c r="B77" s="29" t="s">
        <v>394</v>
      </c>
      <c r="C77" s="1">
        <v>470</v>
      </c>
      <c r="D77" s="8">
        <f t="shared" si="0"/>
        <v>39.000000000000007</v>
      </c>
      <c r="E77" s="4"/>
      <c r="F77" s="4"/>
      <c r="G77" s="4"/>
      <c r="H77" s="2"/>
      <c r="K77" s="4"/>
      <c r="L77" s="147"/>
      <c r="M77" s="147"/>
      <c r="N77" s="148"/>
      <c r="O77" s="147"/>
      <c r="P77" s="86"/>
      <c r="Q77" s="86"/>
      <c r="R77" s="86"/>
      <c r="S77" s="86"/>
      <c r="T77" s="86"/>
      <c r="U77" s="86"/>
      <c r="V77" s="86"/>
      <c r="W77" s="4"/>
    </row>
    <row r="78" spans="1:23" ht="19" x14ac:dyDescent="0.35">
      <c r="A78" s="78" t="s">
        <v>369</v>
      </c>
      <c r="B78" s="29" t="s">
        <v>395</v>
      </c>
      <c r="C78" s="1">
        <v>480</v>
      </c>
      <c r="D78" s="8">
        <f t="shared" si="0"/>
        <v>41.600000000000009</v>
      </c>
      <c r="E78" s="4"/>
      <c r="F78" s="4"/>
      <c r="G78" s="4"/>
      <c r="H78" s="2"/>
      <c r="K78" s="4"/>
      <c r="L78" s="4"/>
      <c r="M78" s="4"/>
      <c r="N78" s="4"/>
      <c r="O78" s="4"/>
      <c r="P78" s="86"/>
      <c r="Q78" s="152"/>
      <c r="R78" s="149"/>
      <c r="S78" s="112"/>
      <c r="T78" s="112"/>
      <c r="U78" s="112"/>
      <c r="V78" s="86"/>
      <c r="W78" s="4"/>
    </row>
    <row r="79" spans="1:23" ht="19" x14ac:dyDescent="0.35">
      <c r="A79" s="78" t="s">
        <v>396</v>
      </c>
      <c r="B79" s="29" t="s">
        <v>397</v>
      </c>
      <c r="C79" s="1">
        <v>490</v>
      </c>
      <c r="D79" s="8">
        <f t="shared" si="0"/>
        <v>44.20000000000001</v>
      </c>
      <c r="E79" s="4"/>
      <c r="F79" s="4"/>
      <c r="G79" s="4"/>
      <c r="H79" s="2"/>
      <c r="K79" s="4"/>
      <c r="L79" s="4"/>
      <c r="M79" s="4"/>
      <c r="N79" s="4"/>
      <c r="O79" s="4"/>
      <c r="P79" s="86"/>
      <c r="Q79" s="148"/>
      <c r="R79" s="147"/>
      <c r="S79" s="112"/>
      <c r="T79" s="112"/>
      <c r="U79" s="112"/>
      <c r="V79" s="86"/>
      <c r="W79" s="4"/>
    </row>
    <row r="80" spans="1:23" ht="19" x14ac:dyDescent="0.35">
      <c r="A80" s="80" t="s">
        <v>370</v>
      </c>
      <c r="B80" s="34" t="s">
        <v>398</v>
      </c>
      <c r="C80" s="120">
        <v>500</v>
      </c>
      <c r="D80" s="10">
        <f t="shared" si="0"/>
        <v>46.800000000000011</v>
      </c>
      <c r="E80" s="5"/>
      <c r="F80" s="5"/>
      <c r="G80" s="5"/>
      <c r="H80" s="3"/>
      <c r="K80" s="4"/>
      <c r="L80" s="4"/>
      <c r="M80" s="4"/>
      <c r="N80" s="4"/>
      <c r="O80" s="4"/>
      <c r="P80" s="86"/>
      <c r="Q80" s="148"/>
      <c r="R80" s="147"/>
      <c r="S80" s="112"/>
      <c r="T80" s="112"/>
      <c r="U80" s="112"/>
      <c r="V80" s="86"/>
      <c r="W80" s="4"/>
    </row>
    <row r="81" spans="1:23" ht="19" x14ac:dyDescent="0.35">
      <c r="A81" s="350" t="s">
        <v>467</v>
      </c>
      <c r="B81" s="351"/>
      <c r="C81" s="23" t="s">
        <v>480</v>
      </c>
      <c r="D81" s="57"/>
      <c r="E81" s="24"/>
      <c r="F81" s="24"/>
      <c r="G81" s="24"/>
      <c r="H81" s="7"/>
      <c r="K81" s="4"/>
      <c r="L81" s="4"/>
      <c r="M81" s="4"/>
      <c r="N81" s="4"/>
      <c r="O81" s="4"/>
      <c r="P81" s="86"/>
      <c r="Q81" s="148"/>
      <c r="R81" s="147"/>
      <c r="S81" s="112"/>
      <c r="T81" s="112"/>
      <c r="U81" s="112"/>
      <c r="V81" s="86"/>
      <c r="W81" s="4"/>
    </row>
    <row r="82" spans="1:23" ht="19" x14ac:dyDescent="0.35">
      <c r="A82" s="29" t="s">
        <v>1019</v>
      </c>
      <c r="B82" s="29" t="s">
        <v>458</v>
      </c>
      <c r="C82" s="1">
        <f>10-5</f>
        <v>5</v>
      </c>
      <c r="D82" s="8"/>
      <c r="E82" s="4"/>
      <c r="F82" s="4"/>
      <c r="G82" s="4"/>
      <c r="H82" s="2"/>
      <c r="K82" s="4"/>
      <c r="L82" s="4"/>
      <c r="M82" s="4"/>
      <c r="N82" s="4"/>
      <c r="O82" s="4"/>
      <c r="P82" s="86"/>
      <c r="Q82" s="148"/>
      <c r="R82" s="147"/>
      <c r="S82" s="112"/>
      <c r="T82" s="112"/>
      <c r="U82" s="112"/>
      <c r="V82" s="86"/>
      <c r="W82" s="4"/>
    </row>
    <row r="83" spans="1:23" ht="19" x14ac:dyDescent="0.35">
      <c r="A83" s="29" t="s">
        <v>1020</v>
      </c>
      <c r="B83" s="29" t="s">
        <v>459</v>
      </c>
      <c r="C83" s="1">
        <f>30-5</f>
        <v>25</v>
      </c>
      <c r="D83" s="8"/>
      <c r="E83" s="4"/>
      <c r="F83" s="4"/>
      <c r="G83" s="4"/>
      <c r="H83" s="2"/>
      <c r="K83" s="4"/>
      <c r="L83" s="4"/>
      <c r="M83" s="4"/>
      <c r="N83" s="4"/>
      <c r="O83" s="4"/>
      <c r="P83" s="86"/>
      <c r="Q83" s="148"/>
      <c r="R83" s="147"/>
      <c r="S83" s="112"/>
      <c r="T83" s="112"/>
      <c r="U83" s="112"/>
      <c r="V83" s="86"/>
      <c r="W83" s="4"/>
    </row>
    <row r="84" spans="1:23" ht="19" x14ac:dyDescent="0.35">
      <c r="A84" s="29" t="s">
        <v>1021</v>
      </c>
      <c r="B84" s="29" t="s">
        <v>460</v>
      </c>
      <c r="C84" s="1">
        <f>30-5</f>
        <v>25</v>
      </c>
      <c r="D84" s="8"/>
      <c r="E84" s="4"/>
      <c r="F84" s="4"/>
      <c r="G84" s="4"/>
      <c r="H84" s="2"/>
      <c r="P84" s="86"/>
      <c r="Q84" s="86"/>
      <c r="R84" s="86"/>
      <c r="S84" s="86"/>
      <c r="T84" s="86"/>
      <c r="U84" s="86"/>
      <c r="V84" s="86"/>
    </row>
    <row r="85" spans="1:23" x14ac:dyDescent="0.35">
      <c r="A85" s="34" t="s">
        <v>1022</v>
      </c>
      <c r="B85" s="29" t="s">
        <v>461</v>
      </c>
      <c r="C85" s="120">
        <f>25-5</f>
        <v>20</v>
      </c>
      <c r="D85" s="10"/>
      <c r="E85" s="5"/>
      <c r="F85" s="5"/>
      <c r="G85" s="5"/>
      <c r="H85" s="3"/>
    </row>
    <row r="86" spans="1:23" x14ac:dyDescent="0.35">
      <c r="A86" s="397" t="s">
        <v>992</v>
      </c>
      <c r="B86" s="351"/>
      <c r="C86" s="23"/>
      <c r="D86" s="57"/>
      <c r="E86" s="24"/>
      <c r="F86" s="24"/>
      <c r="G86" s="24"/>
      <c r="H86" s="7"/>
    </row>
    <row r="87" spans="1:23" x14ac:dyDescent="0.35">
      <c r="A87" s="78" t="s">
        <v>469</v>
      </c>
      <c r="B87" s="29" t="s">
        <v>462</v>
      </c>
      <c r="C87" s="1">
        <v>76</v>
      </c>
      <c r="D87" s="8"/>
      <c r="E87" s="4"/>
      <c r="F87" s="4"/>
      <c r="G87" s="4"/>
      <c r="H87" s="2"/>
    </row>
    <row r="88" spans="1:23" x14ac:dyDescent="0.35">
      <c r="A88" s="78" t="s">
        <v>470</v>
      </c>
      <c r="B88" s="29" t="s">
        <v>463</v>
      </c>
      <c r="C88" s="1">
        <v>80.5</v>
      </c>
      <c r="D88" s="8"/>
      <c r="E88" s="4"/>
      <c r="F88" s="4"/>
      <c r="G88" s="4"/>
      <c r="H88" s="2"/>
    </row>
    <row r="89" spans="1:23" x14ac:dyDescent="0.35">
      <c r="A89" s="78" t="s">
        <v>471</v>
      </c>
      <c r="B89" s="29" t="s">
        <v>464</v>
      </c>
      <c r="C89" s="1">
        <v>85</v>
      </c>
      <c r="D89" s="8"/>
      <c r="E89" s="4"/>
      <c r="F89" s="4"/>
      <c r="G89" s="4"/>
      <c r="H89" s="2"/>
    </row>
    <row r="90" spans="1:23" x14ac:dyDescent="0.35">
      <c r="A90" s="78" t="s">
        <v>472</v>
      </c>
      <c r="B90" s="29" t="s">
        <v>465</v>
      </c>
      <c r="C90" s="1">
        <v>89.5</v>
      </c>
      <c r="D90" s="8"/>
      <c r="E90" s="4"/>
      <c r="F90" s="4"/>
      <c r="G90" s="4"/>
      <c r="H90" s="2"/>
    </row>
    <row r="91" spans="1:23" x14ac:dyDescent="0.35">
      <c r="A91" s="78" t="s">
        <v>473</v>
      </c>
      <c r="B91" s="29" t="s">
        <v>466</v>
      </c>
      <c r="C91" s="120">
        <v>94</v>
      </c>
      <c r="D91" s="10"/>
      <c r="E91" s="5"/>
      <c r="F91" s="5"/>
      <c r="G91" s="5"/>
      <c r="H91" s="3"/>
    </row>
    <row r="92" spans="1:23" x14ac:dyDescent="0.35">
      <c r="A92" s="350" t="s">
        <v>419</v>
      </c>
      <c r="B92" s="351"/>
      <c r="C92" s="30"/>
      <c r="D92" s="4"/>
      <c r="E92" s="4"/>
      <c r="F92" s="4"/>
      <c r="G92" s="4"/>
      <c r="H92" s="2"/>
    </row>
    <row r="93" spans="1:23" x14ac:dyDescent="0.35">
      <c r="A93" s="127" t="s">
        <v>1039</v>
      </c>
      <c r="B93" s="29" t="s">
        <v>420</v>
      </c>
      <c r="C93" s="30">
        <v>130</v>
      </c>
      <c r="D93" s="4"/>
      <c r="E93" s="4"/>
      <c r="F93" s="4"/>
      <c r="G93" s="4"/>
      <c r="H93" s="2"/>
    </row>
    <row r="94" spans="1:23" x14ac:dyDescent="0.35">
      <c r="A94" s="127" t="s">
        <v>1040</v>
      </c>
      <c r="B94" s="29" t="s">
        <v>421</v>
      </c>
      <c r="C94" s="30">
        <v>100</v>
      </c>
      <c r="D94" s="4"/>
      <c r="E94" s="4"/>
      <c r="F94" s="4"/>
      <c r="G94" s="4"/>
      <c r="H94" s="2"/>
    </row>
    <row r="95" spans="1:23" x14ac:dyDescent="0.35">
      <c r="A95" s="350" t="s">
        <v>407</v>
      </c>
      <c r="B95" s="351"/>
      <c r="C95" s="62" t="s">
        <v>404</v>
      </c>
      <c r="D95" s="24"/>
      <c r="E95" s="24"/>
      <c r="F95" s="24"/>
      <c r="G95" s="24"/>
      <c r="H95" s="7"/>
    </row>
    <row r="96" spans="1:23" x14ac:dyDescent="0.35">
      <c r="A96" s="127">
        <v>1</v>
      </c>
      <c r="B96" s="29" t="s">
        <v>408</v>
      </c>
      <c r="C96" s="1">
        <v>77</v>
      </c>
      <c r="D96" s="4"/>
      <c r="E96" s="4"/>
      <c r="F96" s="4"/>
      <c r="G96" s="4"/>
      <c r="H96" s="2"/>
    </row>
    <row r="97" spans="1:20" x14ac:dyDescent="0.35">
      <c r="A97" s="127">
        <v>2</v>
      </c>
      <c r="B97" s="29" t="s">
        <v>409</v>
      </c>
      <c r="C97" s="1">
        <v>65.5</v>
      </c>
      <c r="D97" s="4"/>
      <c r="E97" s="4"/>
      <c r="F97" s="4"/>
      <c r="G97" s="4"/>
      <c r="H97" s="2"/>
    </row>
    <row r="98" spans="1:20" x14ac:dyDescent="0.35">
      <c r="A98" s="127">
        <v>3</v>
      </c>
      <c r="B98" s="29" t="s">
        <v>410</v>
      </c>
      <c r="C98" s="1">
        <v>54</v>
      </c>
      <c r="D98" s="4"/>
      <c r="E98" s="4"/>
      <c r="F98" s="4"/>
      <c r="G98" s="4"/>
      <c r="H98" s="2"/>
    </row>
    <row r="99" spans="1:20" x14ac:dyDescent="0.35">
      <c r="A99" s="127">
        <v>4</v>
      </c>
      <c r="B99" s="29" t="s">
        <v>411</v>
      </c>
      <c r="C99" s="1">
        <v>42.5</v>
      </c>
      <c r="D99" s="4"/>
      <c r="E99" s="4"/>
      <c r="F99" s="4"/>
      <c r="G99" s="4"/>
      <c r="H99" s="2"/>
    </row>
    <row r="100" spans="1:20" x14ac:dyDescent="0.35">
      <c r="A100" s="127">
        <v>5</v>
      </c>
      <c r="B100" s="29" t="s">
        <v>412</v>
      </c>
      <c r="C100" s="1">
        <v>31</v>
      </c>
      <c r="D100" s="4"/>
      <c r="E100" s="4"/>
      <c r="F100" s="4"/>
      <c r="G100" s="4"/>
      <c r="H100" s="2"/>
    </row>
    <row r="101" spans="1:20" x14ac:dyDescent="0.35">
      <c r="A101" s="127">
        <v>6</v>
      </c>
      <c r="B101" s="29" t="s">
        <v>413</v>
      </c>
      <c r="C101" s="1">
        <v>19.5</v>
      </c>
      <c r="D101" s="4"/>
      <c r="E101" s="4"/>
      <c r="F101" s="4"/>
      <c r="G101" s="4"/>
      <c r="H101" s="2"/>
    </row>
    <row r="102" spans="1:20" x14ac:dyDescent="0.35">
      <c r="A102" s="127">
        <v>7</v>
      </c>
      <c r="B102" s="29" t="s">
        <v>414</v>
      </c>
      <c r="C102" s="1">
        <v>8</v>
      </c>
      <c r="D102" s="4"/>
      <c r="E102" s="4"/>
      <c r="F102" s="4"/>
      <c r="G102" s="4"/>
      <c r="H102" s="2"/>
    </row>
    <row r="103" spans="1:20" x14ac:dyDescent="0.35">
      <c r="A103" s="127">
        <v>8</v>
      </c>
      <c r="B103" s="29" t="s">
        <v>415</v>
      </c>
      <c r="C103" s="1">
        <v>-3.5</v>
      </c>
      <c r="D103" s="4"/>
      <c r="E103" s="4"/>
      <c r="F103" s="4"/>
      <c r="G103" s="4"/>
      <c r="H103" s="2"/>
    </row>
    <row r="104" spans="1:20" x14ac:dyDescent="0.35">
      <c r="A104" s="127">
        <v>9</v>
      </c>
      <c r="B104" s="29" t="s">
        <v>416</v>
      </c>
      <c r="C104" s="120">
        <v>-15</v>
      </c>
      <c r="D104" s="5"/>
      <c r="E104" s="5"/>
      <c r="F104" s="5"/>
      <c r="G104" s="5"/>
      <c r="H104" s="3"/>
    </row>
    <row r="105" spans="1:20" x14ac:dyDescent="0.35">
      <c r="A105" s="398" t="s">
        <v>45</v>
      </c>
      <c r="B105" s="399"/>
      <c r="C105" s="43" t="s">
        <v>97</v>
      </c>
      <c r="D105" s="41"/>
      <c r="E105" s="24"/>
      <c r="F105" s="24"/>
      <c r="G105" s="24"/>
      <c r="H105" s="27"/>
      <c r="I105" s="33"/>
    </row>
    <row r="106" spans="1:20" x14ac:dyDescent="0.35">
      <c r="A106" s="28" t="s">
        <v>46</v>
      </c>
      <c r="B106" s="29" t="s">
        <v>145</v>
      </c>
      <c r="C106" s="30">
        <v>0.5</v>
      </c>
      <c r="D106" s="36"/>
      <c r="E106" s="4"/>
      <c r="F106" s="4"/>
      <c r="G106" s="4"/>
      <c r="H106" s="38"/>
      <c r="I106" s="18"/>
    </row>
    <row r="107" spans="1:20" x14ac:dyDescent="0.35">
      <c r="A107" s="28" t="s">
        <v>144</v>
      </c>
      <c r="B107" s="29" t="s">
        <v>146</v>
      </c>
      <c r="C107" s="30">
        <v>1.5</v>
      </c>
      <c r="D107" s="36"/>
      <c r="E107" s="4"/>
      <c r="F107" s="4"/>
      <c r="G107" s="4"/>
      <c r="H107" s="38"/>
      <c r="I107" s="18"/>
    </row>
    <row r="108" spans="1:20" x14ac:dyDescent="0.35">
      <c r="A108" s="28" t="s">
        <v>47</v>
      </c>
      <c r="B108" s="29" t="s">
        <v>147</v>
      </c>
      <c r="C108" s="30">
        <v>3</v>
      </c>
      <c r="D108" s="36"/>
      <c r="E108" s="4"/>
      <c r="F108" s="4"/>
      <c r="G108" s="4"/>
      <c r="H108" s="38"/>
      <c r="I108" s="18"/>
    </row>
    <row r="109" spans="1:20" x14ac:dyDescent="0.35">
      <c r="A109" s="367" t="s">
        <v>177</v>
      </c>
      <c r="B109" s="351"/>
      <c r="C109" s="43"/>
      <c r="D109" s="46"/>
      <c r="E109" s="57"/>
      <c r="F109" s="57"/>
      <c r="G109" s="57"/>
      <c r="H109" s="7"/>
    </row>
    <row r="110" spans="1:20" x14ac:dyDescent="0.35">
      <c r="A110" s="12" t="s">
        <v>1041</v>
      </c>
      <c r="B110" s="29" t="s">
        <v>180</v>
      </c>
      <c r="C110" s="30"/>
      <c r="D110" s="47"/>
      <c r="E110" s="4"/>
      <c r="F110" s="4"/>
      <c r="G110" s="4"/>
      <c r="H110" s="2"/>
    </row>
    <row r="111" spans="1:20" x14ac:dyDescent="0.35">
      <c r="A111" s="12" t="s">
        <v>1042</v>
      </c>
      <c r="B111" s="29" t="s">
        <v>150</v>
      </c>
      <c r="C111" s="30"/>
      <c r="D111" s="47"/>
      <c r="E111" s="4"/>
      <c r="F111" s="4"/>
      <c r="G111" s="4"/>
      <c r="H111" s="2"/>
    </row>
    <row r="112" spans="1:20" x14ac:dyDescent="0.35">
      <c r="A112" s="14" t="s">
        <v>1043</v>
      </c>
      <c r="B112" s="34" t="s">
        <v>1043</v>
      </c>
      <c r="C112" s="39"/>
      <c r="D112" s="48"/>
      <c r="E112" s="5"/>
      <c r="F112" s="5"/>
      <c r="G112" s="5"/>
      <c r="H112" s="3"/>
      <c r="T112" s="20"/>
    </row>
    <row r="113" spans="1:20" x14ac:dyDescent="0.35">
      <c r="A113" s="367" t="s">
        <v>176</v>
      </c>
      <c r="B113" s="400"/>
      <c r="C113" s="30"/>
      <c r="D113" s="47"/>
      <c r="E113" s="4"/>
      <c r="F113" s="4"/>
      <c r="G113" s="4"/>
      <c r="H113" s="2"/>
      <c r="T113" s="20"/>
    </row>
    <row r="114" spans="1:20" x14ac:dyDescent="0.35">
      <c r="A114" s="12" t="s">
        <v>1043</v>
      </c>
      <c r="B114" s="302" t="s">
        <v>1043</v>
      </c>
      <c r="C114" s="30"/>
      <c r="D114" s="47"/>
      <c r="E114" s="4"/>
      <c r="F114" s="4"/>
      <c r="G114" s="4"/>
      <c r="H114" s="2"/>
      <c r="T114" s="20"/>
    </row>
    <row r="115" spans="1:20" x14ac:dyDescent="0.35">
      <c r="A115" s="12" t="s">
        <v>1044</v>
      </c>
      <c r="B115" s="302" t="s">
        <v>178</v>
      </c>
      <c r="C115" s="39"/>
      <c r="D115" s="48"/>
      <c r="E115" s="5"/>
      <c r="F115" s="5"/>
      <c r="G115" s="5"/>
      <c r="H115" s="3"/>
      <c r="T115" s="20"/>
    </row>
    <row r="116" spans="1:20" x14ac:dyDescent="0.35">
      <c r="A116" s="367" t="s">
        <v>148</v>
      </c>
      <c r="B116" s="351"/>
      <c r="C116" s="30"/>
      <c r="D116" s="47"/>
      <c r="E116" s="4"/>
      <c r="F116" s="4"/>
      <c r="G116" s="4"/>
      <c r="H116" s="2"/>
      <c r="T116" s="20"/>
    </row>
    <row r="117" spans="1:20" x14ac:dyDescent="0.35">
      <c r="A117" s="12" t="s">
        <v>1015</v>
      </c>
      <c r="B117" s="29" t="s">
        <v>151</v>
      </c>
      <c r="C117" s="30">
        <f>7*2</f>
        <v>14</v>
      </c>
      <c r="D117" s="47"/>
      <c r="E117" s="4"/>
      <c r="F117" s="4"/>
      <c r="G117" s="4"/>
      <c r="H117" s="2"/>
      <c r="T117" s="20"/>
    </row>
    <row r="118" spans="1:20" x14ac:dyDescent="0.35">
      <c r="A118" s="12" t="s">
        <v>1016</v>
      </c>
      <c r="B118" s="29" t="s">
        <v>140</v>
      </c>
      <c r="C118" s="30">
        <f>0</f>
        <v>0</v>
      </c>
      <c r="D118" s="47"/>
      <c r="E118" s="4"/>
      <c r="F118" s="4"/>
      <c r="G118" s="4"/>
      <c r="H118" s="2"/>
      <c r="T118" s="20"/>
    </row>
    <row r="119" spans="1:20" x14ac:dyDescent="0.35">
      <c r="A119" s="367" t="s">
        <v>38</v>
      </c>
      <c r="B119" s="351"/>
      <c r="C119" s="43" t="s">
        <v>60</v>
      </c>
      <c r="D119" s="24"/>
      <c r="E119" s="24"/>
      <c r="F119" s="24"/>
      <c r="G119" s="24"/>
      <c r="H119" s="7"/>
    </row>
    <row r="120" spans="1:20" x14ac:dyDescent="0.35">
      <c r="A120" s="12" t="s">
        <v>1028</v>
      </c>
      <c r="B120" s="29" t="s">
        <v>159</v>
      </c>
      <c r="C120" s="30">
        <f>(53/2)*2</f>
        <v>53</v>
      </c>
      <c r="D120" s="49"/>
      <c r="E120" s="4"/>
      <c r="F120" s="4"/>
      <c r="G120" s="4"/>
      <c r="H120" s="2"/>
    </row>
    <row r="121" spans="1:20" x14ac:dyDescent="0.35">
      <c r="A121" s="12" t="s">
        <v>39</v>
      </c>
      <c r="B121" s="29" t="s">
        <v>160</v>
      </c>
      <c r="C121" s="30">
        <f>(53/2)*2</f>
        <v>53</v>
      </c>
      <c r="D121" s="49"/>
      <c r="E121" s="4"/>
      <c r="F121" s="4"/>
      <c r="G121" s="4"/>
      <c r="H121" s="2"/>
    </row>
    <row r="122" spans="1:20" x14ac:dyDescent="0.35">
      <c r="A122" s="12" t="s">
        <v>1029</v>
      </c>
      <c r="B122" s="29" t="s">
        <v>161</v>
      </c>
      <c r="C122" s="30">
        <f>(53/2)*2</f>
        <v>53</v>
      </c>
      <c r="D122" s="49"/>
      <c r="E122" s="4"/>
      <c r="F122" s="4"/>
      <c r="G122" s="4"/>
      <c r="H122" s="2"/>
    </row>
    <row r="123" spans="1:20" x14ac:dyDescent="0.35">
      <c r="A123" s="14" t="s">
        <v>40</v>
      </c>
      <c r="B123" s="34" t="s">
        <v>162</v>
      </c>
      <c r="C123" s="39">
        <v>62</v>
      </c>
      <c r="D123" s="50"/>
      <c r="E123" s="5"/>
      <c r="F123" s="5"/>
      <c r="G123" s="5"/>
      <c r="H123" s="3"/>
    </row>
    <row r="124" spans="1:20" x14ac:dyDescent="0.35">
      <c r="A124" s="367" t="s">
        <v>29</v>
      </c>
      <c r="B124" s="351"/>
      <c r="C124" s="43" t="s">
        <v>56</v>
      </c>
      <c r="D124" s="24"/>
      <c r="E124" s="24"/>
      <c r="F124" s="24"/>
      <c r="G124" s="24"/>
      <c r="H124" s="7"/>
    </row>
    <row r="125" spans="1:20" x14ac:dyDescent="0.35">
      <c r="A125" s="63" t="s">
        <v>30</v>
      </c>
      <c r="B125" s="64" t="s">
        <v>163</v>
      </c>
      <c r="C125" s="66">
        <f>22*25.4</f>
        <v>558.79999999999995</v>
      </c>
      <c r="D125" s="4"/>
      <c r="E125" s="4"/>
      <c r="F125" s="4"/>
      <c r="G125" s="4"/>
      <c r="H125" s="2"/>
    </row>
    <row r="126" spans="1:20" x14ac:dyDescent="0.35">
      <c r="A126" s="12" t="s">
        <v>31</v>
      </c>
      <c r="B126" s="29" t="s">
        <v>164</v>
      </c>
      <c r="C126" s="30">
        <v>609.6</v>
      </c>
      <c r="D126" s="51"/>
      <c r="E126" s="4"/>
      <c r="F126" s="4"/>
      <c r="G126" s="4"/>
      <c r="H126" s="2"/>
    </row>
    <row r="127" spans="1:20" x14ac:dyDescent="0.35">
      <c r="A127" s="12" t="s">
        <v>32</v>
      </c>
      <c r="B127" s="29" t="s">
        <v>165</v>
      </c>
      <c r="C127" s="30">
        <v>635</v>
      </c>
      <c r="D127" s="51"/>
      <c r="E127" s="4"/>
      <c r="F127" s="4"/>
      <c r="G127" s="4"/>
      <c r="H127" s="2"/>
    </row>
    <row r="128" spans="1:20" x14ac:dyDescent="0.35">
      <c r="A128" s="14" t="s">
        <v>33</v>
      </c>
      <c r="B128" s="34" t="s">
        <v>166</v>
      </c>
      <c r="C128" s="39">
        <v>660.4</v>
      </c>
      <c r="D128" s="52"/>
      <c r="E128" s="5"/>
      <c r="F128" s="5"/>
      <c r="G128" s="5"/>
      <c r="H128" s="3"/>
    </row>
    <row r="129" spans="1:8" x14ac:dyDescent="0.35">
      <c r="A129" s="348" t="s">
        <v>75</v>
      </c>
      <c r="B129" s="402"/>
      <c r="C129" s="403" t="s">
        <v>77</v>
      </c>
      <c r="D129" s="375"/>
      <c r="E129" s="24"/>
      <c r="F129" s="24"/>
      <c r="G129" s="24"/>
      <c r="H129" s="7"/>
    </row>
    <row r="130" spans="1:8" x14ac:dyDescent="0.35">
      <c r="A130" s="28" t="s">
        <v>1030</v>
      </c>
      <c r="B130" s="29" t="s">
        <v>159</v>
      </c>
      <c r="C130" s="8">
        <v>86</v>
      </c>
      <c r="D130" s="51"/>
      <c r="E130" s="4"/>
      <c r="F130" s="4"/>
      <c r="G130" s="4"/>
      <c r="H130" s="2"/>
    </row>
    <row r="131" spans="1:8" x14ac:dyDescent="0.35">
      <c r="A131" s="12" t="s">
        <v>1031</v>
      </c>
      <c r="B131" s="29" t="s">
        <v>167</v>
      </c>
      <c r="C131" s="8">
        <v>94</v>
      </c>
      <c r="D131" s="51"/>
      <c r="E131" s="4"/>
      <c r="F131" s="4"/>
      <c r="G131" s="4"/>
      <c r="H131" s="2"/>
    </row>
    <row r="132" spans="1:8" x14ac:dyDescent="0.35">
      <c r="A132" s="12" t="s">
        <v>1032</v>
      </c>
      <c r="B132" s="29" t="s">
        <v>168</v>
      </c>
      <c r="C132" s="8">
        <f>45*2</f>
        <v>90</v>
      </c>
      <c r="D132" s="51"/>
      <c r="E132" s="4"/>
      <c r="F132" s="4"/>
      <c r="G132" s="4"/>
      <c r="H132" s="2"/>
    </row>
    <row r="133" spans="1:8" x14ac:dyDescent="0.35">
      <c r="A133" s="12" t="s">
        <v>813</v>
      </c>
      <c r="B133" s="29" t="s">
        <v>169</v>
      </c>
      <c r="C133" s="8">
        <f>45*2</f>
        <v>90</v>
      </c>
      <c r="D133" s="51"/>
      <c r="E133" s="4"/>
      <c r="F133" s="4"/>
      <c r="G133" s="4"/>
      <c r="H133" s="2"/>
    </row>
    <row r="134" spans="1:8" x14ac:dyDescent="0.35">
      <c r="A134" s="12" t="s">
        <v>73</v>
      </c>
      <c r="B134" s="29" t="s">
        <v>170</v>
      </c>
      <c r="C134" s="8">
        <v>94</v>
      </c>
      <c r="D134" s="51"/>
      <c r="E134" s="4"/>
      <c r="F134" s="4"/>
      <c r="G134" s="4"/>
      <c r="H134" s="2"/>
    </row>
    <row r="135" spans="1:8" x14ac:dyDescent="0.35">
      <c r="A135" s="12" t="s">
        <v>74</v>
      </c>
      <c r="B135" s="29" t="s">
        <v>171</v>
      </c>
      <c r="C135" s="8">
        <v>84</v>
      </c>
      <c r="D135" s="51"/>
      <c r="E135" s="4"/>
      <c r="F135" s="4"/>
      <c r="G135" s="4"/>
      <c r="H135" s="2"/>
    </row>
    <row r="136" spans="1:8" x14ac:dyDescent="0.35">
      <c r="A136" s="12" t="s">
        <v>72</v>
      </c>
      <c r="B136" s="29" t="s">
        <v>172</v>
      </c>
      <c r="C136" s="8">
        <v>92</v>
      </c>
      <c r="D136" s="51"/>
      <c r="E136" s="4"/>
      <c r="F136" s="4"/>
      <c r="G136" s="4"/>
      <c r="H136" s="2"/>
    </row>
    <row r="137" spans="1:8" x14ac:dyDescent="0.35">
      <c r="A137" s="12" t="s">
        <v>71</v>
      </c>
      <c r="B137" s="29" t="s">
        <v>173</v>
      </c>
      <c r="C137" s="8">
        <f>48*2</f>
        <v>96</v>
      </c>
      <c r="D137" s="51"/>
      <c r="E137" s="4"/>
      <c r="F137" s="4"/>
      <c r="G137" s="4"/>
      <c r="H137" s="2"/>
    </row>
    <row r="138" spans="1:8" x14ac:dyDescent="0.35">
      <c r="A138" s="12" t="s">
        <v>1033</v>
      </c>
      <c r="B138" s="29" t="s">
        <v>174</v>
      </c>
      <c r="C138" s="8">
        <f>45*2</f>
        <v>90</v>
      </c>
      <c r="D138" s="51"/>
      <c r="E138" s="4"/>
      <c r="F138" s="4"/>
      <c r="G138" s="4"/>
      <c r="H138" s="2"/>
    </row>
    <row r="139" spans="1:8" ht="15" thickBot="1" x14ac:dyDescent="0.4">
      <c r="A139" s="16" t="s">
        <v>1034</v>
      </c>
      <c r="B139" s="35" t="s">
        <v>175</v>
      </c>
      <c r="C139" s="10">
        <f>45*2</f>
        <v>90</v>
      </c>
      <c r="D139" s="52"/>
      <c r="E139" s="5"/>
      <c r="F139" s="5"/>
      <c r="G139" s="5"/>
      <c r="H139" s="3"/>
    </row>
    <row r="142" spans="1:8" x14ac:dyDescent="0.35">
      <c r="A142" s="8"/>
      <c r="B142" s="65"/>
      <c r="C142" s="65"/>
      <c r="D142" s="8"/>
    </row>
    <row r="143" spans="1:8" x14ac:dyDescent="0.35">
      <c r="A143" s="8"/>
      <c r="B143" s="8"/>
      <c r="C143" s="8" t="s">
        <v>450</v>
      </c>
      <c r="D143" s="8" t="s">
        <v>451</v>
      </c>
    </row>
    <row r="144" spans="1:8" x14ac:dyDescent="0.35">
      <c r="A144" s="8"/>
      <c r="B144" s="44"/>
      <c r="C144" s="44"/>
      <c r="D144" s="45"/>
    </row>
    <row r="145" spans="1:4" x14ac:dyDescent="0.35">
      <c r="A145" s="8"/>
      <c r="B145" s="44"/>
      <c r="C145" s="44"/>
      <c r="D145" s="45"/>
    </row>
    <row r="146" spans="1:4" x14ac:dyDescent="0.35">
      <c r="A146" s="8"/>
      <c r="B146" s="44"/>
      <c r="C146" s="44"/>
      <c r="D146" s="45"/>
    </row>
    <row r="147" spans="1:4" x14ac:dyDescent="0.35">
      <c r="A147" s="11"/>
      <c r="B147" s="8"/>
      <c r="C147" s="8"/>
      <c r="D147" s="8"/>
    </row>
    <row r="148" spans="1:4" x14ac:dyDescent="0.35">
      <c r="A148" s="8"/>
      <c r="B148" s="8"/>
      <c r="C148" s="8"/>
      <c r="D148" s="8"/>
    </row>
    <row r="149" spans="1:4" x14ac:dyDescent="0.35">
      <c r="A149" s="401"/>
      <c r="B149" s="401"/>
      <c r="C149" s="401"/>
      <c r="D149" s="8"/>
    </row>
    <row r="150" spans="1:4" x14ac:dyDescent="0.35">
      <c r="A150" s="8"/>
      <c r="B150" s="8"/>
      <c r="C150" s="8"/>
      <c r="D150" s="8"/>
    </row>
    <row r="151" spans="1:4" x14ac:dyDescent="0.35">
      <c r="A151" s="8"/>
      <c r="B151" s="8"/>
      <c r="C151" s="8"/>
      <c r="D151" s="8"/>
    </row>
    <row r="152" spans="1:4" x14ac:dyDescent="0.35">
      <c r="A152" s="8"/>
      <c r="B152" s="8"/>
      <c r="C152" s="8"/>
      <c r="D152" s="8"/>
    </row>
    <row r="153" spans="1:4" x14ac:dyDescent="0.35">
      <c r="A153" s="8"/>
      <c r="B153" s="8"/>
      <c r="C153" s="8"/>
      <c r="D153" s="8"/>
    </row>
    <row r="154" spans="1:4" x14ac:dyDescent="0.35">
      <c r="A154" s="8"/>
      <c r="B154" s="8"/>
      <c r="C154" s="8"/>
      <c r="D154" s="8"/>
    </row>
    <row r="157" spans="1:4" x14ac:dyDescent="0.35">
      <c r="A157" s="4"/>
      <c r="B157" s="4"/>
      <c r="C157" s="4"/>
    </row>
    <row r="158" spans="1:4" x14ac:dyDescent="0.35">
      <c r="A158" s="4"/>
      <c r="B158" s="4"/>
      <c r="C158" s="4"/>
    </row>
  </sheetData>
  <mergeCells count="23">
    <mergeCell ref="J11:P13"/>
    <mergeCell ref="A105:B105"/>
    <mergeCell ref="A109:B109"/>
    <mergeCell ref="A113:B113"/>
    <mergeCell ref="A149:C149"/>
    <mergeCell ref="A124:B124"/>
    <mergeCell ref="A129:B129"/>
    <mergeCell ref="C129:D129"/>
    <mergeCell ref="A3:B3"/>
    <mergeCell ref="C3:H3"/>
    <mergeCell ref="A9:B9"/>
    <mergeCell ref="A116:B116"/>
    <mergeCell ref="A119:B119"/>
    <mergeCell ref="A4:B4"/>
    <mergeCell ref="A17:B17"/>
    <mergeCell ref="A26:B26"/>
    <mergeCell ref="A39:B39"/>
    <mergeCell ref="A50:B50"/>
    <mergeCell ref="A61:B61"/>
    <mergeCell ref="A95:B95"/>
    <mergeCell ref="A92:B92"/>
    <mergeCell ref="A81:B81"/>
    <mergeCell ref="A86:B86"/>
  </mergeCells>
  <phoneticPr fontId="2" type="noConversion"/>
  <conditionalFormatting sqref="L71:O77">
    <cfRule type="expression" dxfId="3" priority="3">
      <formula>$E71="x"</formula>
    </cfRule>
  </conditionalFormatting>
  <conditionalFormatting sqref="T71:U75">
    <cfRule type="expression" dxfId="2" priority="2">
      <formula>$E71="x"</formula>
    </cfRule>
  </conditionalFormatting>
  <conditionalFormatting sqref="Q78:R83">
    <cfRule type="expression" dxfId="1" priority="1">
      <formula>$E78="x"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5B837-5E29-4039-BE64-1A5E47AF46B2}">
  <dimension ref="B1:AU89"/>
  <sheetViews>
    <sheetView showGridLines="0" zoomScale="80" zoomScaleNormal="80" workbookViewId="0">
      <selection activeCell="C29" sqref="C29"/>
    </sheetView>
  </sheetViews>
  <sheetFormatPr defaultColWidth="8.90625" defaultRowHeight="18" customHeight="1" x14ac:dyDescent="0.35"/>
  <cols>
    <col min="1" max="1" width="5.81640625" style="86" customWidth="1"/>
    <col min="2" max="3" width="32.81640625" style="86" customWidth="1"/>
    <col min="4" max="6" width="8.90625" style="86" hidden="1" customWidth="1"/>
    <col min="7" max="7" width="8.6328125" style="86" hidden="1" customWidth="1"/>
    <col min="8" max="8" width="11.36328125" style="86" hidden="1" customWidth="1"/>
    <col min="9" max="9" width="12.08984375" style="86" hidden="1" customWidth="1"/>
    <col min="10" max="10" width="12.81640625" style="86" hidden="1" customWidth="1"/>
    <col min="11" max="11" width="11.1796875" style="86" hidden="1" customWidth="1"/>
    <col min="12" max="12" width="11.90625" style="86" hidden="1" customWidth="1"/>
    <col min="13" max="19" width="13.90625" style="86" hidden="1" customWidth="1"/>
    <col min="20" max="20" width="10.6328125" style="86" hidden="1" customWidth="1"/>
    <col min="21" max="21" width="8.90625" style="86" hidden="1" customWidth="1"/>
    <col min="22" max="22" width="8.90625" style="86" customWidth="1"/>
    <col min="23" max="27" width="8.90625" style="86"/>
    <col min="28" max="28" width="32.1796875" style="86" customWidth="1"/>
    <col min="29" max="40" width="8.90625" style="86"/>
    <col min="41" max="41" width="28.1796875" style="86" customWidth="1"/>
    <col min="42" max="16384" width="8.90625" style="86"/>
  </cols>
  <sheetData>
    <row r="1" spans="2:26" ht="18" customHeight="1" x14ac:dyDescent="0.35"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</row>
    <row r="2" spans="2:26" ht="18" customHeight="1" x14ac:dyDescent="0.35">
      <c r="B2" s="85"/>
      <c r="C2" s="85"/>
      <c r="D2" s="85"/>
      <c r="E2" s="85"/>
      <c r="F2" s="85"/>
      <c r="G2" s="85"/>
      <c r="H2" s="283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 spans="2:26" ht="18" customHeight="1" thickBot="1" x14ac:dyDescent="0.4"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spans="2:26" ht="18" customHeight="1" x14ac:dyDescent="0.35">
      <c r="B4" s="387" t="s">
        <v>79</v>
      </c>
      <c r="C4" s="339" t="s">
        <v>78</v>
      </c>
    </row>
    <row r="5" spans="2:26" ht="18" customHeight="1" x14ac:dyDescent="0.35">
      <c r="B5" s="388"/>
      <c r="C5" s="340"/>
    </row>
    <row r="6" spans="2:26" ht="18" customHeight="1" x14ac:dyDescent="0.65">
      <c r="B6" s="88" t="s">
        <v>955</v>
      </c>
      <c r="C6" s="104"/>
      <c r="D6" s="220" t="s">
        <v>762</v>
      </c>
      <c r="E6" s="220" t="s">
        <v>763</v>
      </c>
      <c r="F6" s="220" t="s">
        <v>770</v>
      </c>
      <c r="G6" s="220" t="s">
        <v>764</v>
      </c>
      <c r="H6" s="220" t="s">
        <v>769</v>
      </c>
      <c r="I6" s="220" t="s">
        <v>765</v>
      </c>
      <c r="J6" s="220" t="s">
        <v>768</v>
      </c>
      <c r="K6" s="291"/>
      <c r="L6" s="291"/>
      <c r="M6" s="291"/>
      <c r="N6" s="291"/>
      <c r="O6" s="291"/>
      <c r="P6" s="291"/>
      <c r="Q6" s="291"/>
      <c r="R6" s="291"/>
      <c r="S6" s="291"/>
    </row>
    <row r="7" spans="2:26" ht="18" customHeight="1" x14ac:dyDescent="0.35">
      <c r="B7" s="119" t="s">
        <v>1045</v>
      </c>
      <c r="C7" s="115" t="str">
        <f>VLOOKUP(B7,'Values K-Series'!A5:K10,2,0)</f>
        <v>DKA1040/1050</v>
      </c>
      <c r="D7" s="86">
        <f>VLOOKUP(B7,'Values K-Series'!A5:K10,3,0)</f>
        <v>416.4</v>
      </c>
      <c r="E7" s="86">
        <f>VLOOKUP(B7,'Values K-Series'!A5:K10,4,0)</f>
        <v>265</v>
      </c>
      <c r="F7" s="86">
        <f>(SIN(J7)*(E7+48-19.7))+(COS(J7)*11)+F33</f>
        <v>424.8711148546156</v>
      </c>
      <c r="G7" s="86">
        <f>VLOOKUP(B7,'Values K-Series'!A5:K10,5,0)</f>
        <v>85</v>
      </c>
      <c r="H7" s="202">
        <f>G7/(180/3.141592)</f>
        <v>1.4835295555555557</v>
      </c>
      <c r="I7" s="86">
        <f>VLOOKUP(B7,'Values K-Series'!A5:K10,6,0)</f>
        <v>22</v>
      </c>
      <c r="J7" s="202">
        <f>I7/(180/3.141592)</f>
        <v>0.38397235555555559</v>
      </c>
      <c r="K7" s="202"/>
      <c r="L7" s="202"/>
      <c r="M7" s="202"/>
      <c r="N7" s="202"/>
      <c r="O7" s="202"/>
      <c r="P7" s="202"/>
      <c r="Q7" s="202"/>
      <c r="R7" s="202"/>
      <c r="S7" s="202"/>
    </row>
    <row r="8" spans="2:26" ht="18" customHeight="1" x14ac:dyDescent="0.35">
      <c r="B8" s="88" t="s">
        <v>969</v>
      </c>
      <c r="C8" s="214"/>
      <c r="D8" s="102" t="s">
        <v>51</v>
      </c>
      <c r="E8" s="103"/>
      <c r="F8" s="103"/>
    </row>
    <row r="9" spans="2:26" ht="18" customHeight="1" x14ac:dyDescent="0.35">
      <c r="B9" s="90" t="s">
        <v>17</v>
      </c>
      <c r="C9" s="115" t="str">
        <f>VLOOKUP(B9,'Values K-Series'!A12:B21,2,0)</f>
        <v>DKA1340</v>
      </c>
      <c r="D9" s="86">
        <f>VLOOKUP(B9,'Values K-Series'!A12:C21,3,0)</f>
        <v>440</v>
      </c>
    </row>
    <row r="10" spans="2:26" ht="18" customHeight="1" x14ac:dyDescent="0.65">
      <c r="B10" s="88" t="s">
        <v>989</v>
      </c>
      <c r="C10" s="214"/>
      <c r="D10" s="135" t="s">
        <v>418</v>
      </c>
      <c r="E10" s="135" t="s">
        <v>793</v>
      </c>
      <c r="F10" s="135" t="s">
        <v>795</v>
      </c>
      <c r="G10" s="136" t="s">
        <v>828</v>
      </c>
      <c r="H10" s="275" t="s">
        <v>821</v>
      </c>
      <c r="I10" s="276" t="s">
        <v>822</v>
      </c>
      <c r="J10" s="276" t="s">
        <v>823</v>
      </c>
      <c r="K10" s="276" t="s">
        <v>824</v>
      </c>
      <c r="L10" s="276" t="s">
        <v>825</v>
      </c>
      <c r="M10" s="276" t="s">
        <v>826</v>
      </c>
      <c r="N10" s="275" t="s">
        <v>829</v>
      </c>
      <c r="O10" s="276" t="s">
        <v>830</v>
      </c>
      <c r="P10" s="276" t="s">
        <v>831</v>
      </c>
      <c r="Q10" s="276" t="s">
        <v>832</v>
      </c>
      <c r="R10" s="276" t="s">
        <v>833</v>
      </c>
      <c r="S10" s="276" t="s">
        <v>834</v>
      </c>
      <c r="T10" s="136" t="s">
        <v>835</v>
      </c>
    </row>
    <row r="11" spans="2:26" ht="18" customHeight="1" x14ac:dyDescent="0.35">
      <c r="B11" s="90" t="s">
        <v>664</v>
      </c>
      <c r="C11" s="115" t="str">
        <f>VLOOKUP(B11,'Values K-Series'!A23:K30,2,0)</f>
        <v>DKA1450</v>
      </c>
      <c r="D11" s="86">
        <f>VLOOKUP(B11,'Values K-Series'!A23:K30,3,0)</f>
        <v>390</v>
      </c>
      <c r="E11" s="86">
        <f>VLOOKUP(B11,'Values K-Series'!A23:K30,4,0)</f>
        <v>50</v>
      </c>
      <c r="F11" s="86">
        <f>VLOOKUP(B11,'Values K-Series'!A23:K30,5,0)</f>
        <v>0</v>
      </c>
      <c r="G11" s="86">
        <f>IF(OR(B7="Châssis 75° Standard",B7="Châssis 75° Court",B7="Châssis 90° Standard",B7="Châssis 90° Court"),E11,F11)</f>
        <v>50</v>
      </c>
      <c r="H11" s="86">
        <f>VLOOKUP(B11,'Values K-Series'!A23:K30,6,0)</f>
        <v>2.96</v>
      </c>
      <c r="I11" s="86">
        <f>VLOOKUP(B11,'Values K-Series'!A23:K30,7,0)</f>
        <v>2.9312631578947372</v>
      </c>
      <c r="J11" s="86">
        <f>VLOOKUP(B11,'Values K-Series'!A23:K30,8,0)</f>
        <v>3.13</v>
      </c>
      <c r="K11" s="86">
        <f>VLOOKUP(B11,'Values K-Series'!A23:K30,9,0)</f>
        <v>0.92483333333333317</v>
      </c>
      <c r="L11" s="86">
        <f>VLOOKUP(B11,'Values K-Series'!A23:K30,10,0)</f>
        <v>0.90566666666666673</v>
      </c>
      <c r="M11" s="86">
        <f>VLOOKUP(B11,'Values K-Series'!A23:K30,11,0)</f>
        <v>0.91912500000000019</v>
      </c>
      <c r="N11" s="86">
        <f>VLOOKUP(B11,'Values K-Series'!A23:Z30,12,0)</f>
        <v>0.35</v>
      </c>
      <c r="O11" s="86">
        <f>VLOOKUP(B11,'Values K-Series'!A23:Z30,13,0)</f>
        <v>0.35168421052631543</v>
      </c>
      <c r="P11" s="86">
        <f>VLOOKUP(B11,'Values K-Series'!A23:Z30,14,0)</f>
        <v>0.53</v>
      </c>
      <c r="Q11" s="86">
        <f>VLOOKUP(B11,'Values K-Series'!A23:Z30,15,0)</f>
        <v>1.0024166666666667</v>
      </c>
      <c r="R11" s="86">
        <f>VLOOKUP(B11,'Values K-Series'!A23:Z30,16,0)</f>
        <v>1.0003333333333335</v>
      </c>
      <c r="S11" s="86">
        <f>VLOOKUP(B11,'Values K-Series'!A23:Z30,17,0)</f>
        <v>1</v>
      </c>
      <c r="T11" s="289">
        <f>IF(B7="Châssis 75° Standard",'Values K-Series'!T50+(H11*((D21/10)-29)-(K11*(G11+(D13-12)))),IF(B7="",'Values K-Series'!T50+(J11*((D21/10)-29)-(M11*(G11+(D13-12)))),IF(B7="Châssis 75° +50mm",'Values K-Series'!T50+(I11*((D21/10)-29)-(L11*(G11+(D13-12)))),IF(B7="Châssis 90° Standard",'Values K-Series'!T102+(N11*((D21/10)-29)-(Q11*(G11+(D13-12)))),IF(B7="Châssis 90° Court",'Values K-Series'!T102+(P11*((D21/10)-29)-(S11*(G11+(D13-12)))),IF(B7="Châssis 90° +50mm",'Values K-Series'!T102+(O11*((D21/10)-29)-(R11*(G11+(D13-12))))))))))</f>
        <v>213.64333333333335</v>
      </c>
    </row>
    <row r="12" spans="2:26" ht="18" customHeight="1" x14ac:dyDescent="0.35">
      <c r="B12" s="88" t="s">
        <v>993</v>
      </c>
      <c r="C12" s="214"/>
      <c r="D12" s="135" t="s">
        <v>404</v>
      </c>
    </row>
    <row r="13" spans="2:26" ht="18" customHeight="1" x14ac:dyDescent="0.35">
      <c r="B13" s="119" t="s">
        <v>1066</v>
      </c>
      <c r="C13" s="115" t="str">
        <f>VLOOKUP(B13,'Values K-Series'!A32:K36,2,0)</f>
        <v>DKA1520</v>
      </c>
      <c r="D13" s="86">
        <f>VLOOKUP(B13,'Values K-Series'!A32:K36,3,0)</f>
        <v>42</v>
      </c>
    </row>
    <row r="14" spans="2:26" ht="18" customHeight="1" x14ac:dyDescent="0.35">
      <c r="B14" s="88" t="s">
        <v>990</v>
      </c>
      <c r="C14" s="214"/>
      <c r="D14" s="160" t="s">
        <v>474</v>
      </c>
      <c r="E14" s="160" t="s">
        <v>476</v>
      </c>
    </row>
    <row r="15" spans="2:26" ht="18" customHeight="1" x14ac:dyDescent="0.35">
      <c r="B15" s="90" t="s">
        <v>301</v>
      </c>
      <c r="C15" s="115" t="str">
        <f>VLOOKUP(B15,'Values K-Series'!A38:K52,2,0)</f>
        <v>DKA1650</v>
      </c>
      <c r="D15" s="86">
        <f>VLOOKUP(B15,'Values K-Series'!A38:K52,3,0)</f>
        <v>405</v>
      </c>
      <c r="E15" s="143">
        <f>D15*SIN((180-C46)*(3.141592/180))</f>
        <v>404.9999999999784</v>
      </c>
    </row>
    <row r="16" spans="2:26" ht="18" customHeight="1" x14ac:dyDescent="0.35">
      <c r="B16" s="88" t="s">
        <v>956</v>
      </c>
      <c r="C16" s="214"/>
      <c r="D16" s="135" t="s">
        <v>478</v>
      </c>
      <c r="E16" s="135" t="s">
        <v>442</v>
      </c>
      <c r="F16" s="155" t="s">
        <v>441</v>
      </c>
    </row>
    <row r="17" spans="2:29" ht="18" customHeight="1" x14ac:dyDescent="0.35">
      <c r="B17" s="90" t="s">
        <v>323</v>
      </c>
      <c r="C17" s="115" t="str">
        <f>VLOOKUP(B17,'Values K-Series'!A54:K579,2,0)</f>
        <v>DKA1760</v>
      </c>
      <c r="D17" s="215">
        <f>VLOOKUP(C17,'Values K-Series'!B54:Q579,2,0)</f>
        <v>490</v>
      </c>
      <c r="E17" s="86">
        <f>(D17-D19)/D11</f>
        <v>0</v>
      </c>
      <c r="F17" s="86">
        <f>E17*(180/3.141592)</f>
        <v>0</v>
      </c>
    </row>
    <row r="18" spans="2:29" ht="18" customHeight="1" x14ac:dyDescent="0.35">
      <c r="B18" s="88" t="s">
        <v>957</v>
      </c>
      <c r="C18" s="214"/>
      <c r="D18" s="135" t="s">
        <v>479</v>
      </c>
      <c r="E18" s="112"/>
      <c r="F18" s="112"/>
    </row>
    <row r="19" spans="2:29" ht="18" customHeight="1" x14ac:dyDescent="0.35">
      <c r="B19" s="90" t="s">
        <v>573</v>
      </c>
      <c r="C19" s="115" t="str">
        <f>VLOOKUP(B19,'Values K-Series'!A63:K73,2,0)</f>
        <v>DKA1865</v>
      </c>
      <c r="D19" s="215">
        <f>VLOOKUP(C19,'Values K-Series'!B63:Q73,2,0)</f>
        <v>490</v>
      </c>
      <c r="E19" s="112"/>
      <c r="F19" s="112"/>
    </row>
    <row r="20" spans="2:29" ht="18" customHeight="1" x14ac:dyDescent="0.35">
      <c r="B20" s="88" t="s">
        <v>958</v>
      </c>
      <c r="C20" s="214"/>
      <c r="D20" s="203" t="s">
        <v>440</v>
      </c>
      <c r="E20" s="112"/>
      <c r="F20" s="112"/>
    </row>
    <row r="21" spans="2:29" ht="18" customHeight="1" x14ac:dyDescent="0.35">
      <c r="B21" s="90" t="s">
        <v>392</v>
      </c>
      <c r="C21" s="115" t="str">
        <f>VLOOKUP(B21,'Values K-Series'!A75:K94,2,0)</f>
        <v>DKA1954</v>
      </c>
      <c r="D21" s="215">
        <f>VLOOKUP(C21,'Values K-Series'!B75:Q94,2,0)</f>
        <v>470</v>
      </c>
      <c r="E21" s="112"/>
      <c r="F21" s="112"/>
    </row>
    <row r="22" spans="2:29" ht="18" customHeight="1" x14ac:dyDescent="0.35">
      <c r="B22" s="88" t="s">
        <v>1004</v>
      </c>
      <c r="C22" s="214"/>
      <c r="D22" s="136"/>
      <c r="E22" s="112"/>
      <c r="F22" s="112"/>
      <c r="X22" s="92" t="s">
        <v>972</v>
      </c>
    </row>
    <row r="23" spans="2:29" ht="18" customHeight="1" x14ac:dyDescent="0.35">
      <c r="B23" s="90" t="s">
        <v>1021</v>
      </c>
      <c r="C23" s="115" t="str">
        <f>VLOOKUP(B23,'Values K-Series'!A96:C99,2,0)</f>
        <v>DKA2420</v>
      </c>
      <c r="D23" s="86">
        <f>VLOOKUP(B23,'Values K-Series'!A96:C99,3,0)</f>
        <v>25</v>
      </c>
      <c r="X23" s="93" t="s">
        <v>973</v>
      </c>
    </row>
    <row r="24" spans="2:29" ht="18" customHeight="1" x14ac:dyDescent="0.35">
      <c r="B24" s="88" t="s">
        <v>1005</v>
      </c>
      <c r="C24" s="214"/>
      <c r="D24" s="136"/>
      <c r="X24" s="93" t="s">
        <v>974</v>
      </c>
    </row>
    <row r="25" spans="2:29" ht="18" customHeight="1" x14ac:dyDescent="0.35">
      <c r="B25" s="90" t="s">
        <v>620</v>
      </c>
      <c r="C25" s="115" t="str">
        <f>VLOOKUP(B25,'Values K-Series'!A101:K106,2,0)</f>
        <v>DKA2580</v>
      </c>
      <c r="D25" s="86">
        <f>VLOOKUP(B25,'Values K-Series'!A101:K106,3,0)</f>
        <v>90</v>
      </c>
      <c r="X25" s="93" t="s">
        <v>975</v>
      </c>
    </row>
    <row r="26" spans="2:29" ht="18" customHeight="1" x14ac:dyDescent="0.35">
      <c r="B26" s="88" t="s">
        <v>1008</v>
      </c>
      <c r="C26" s="214"/>
      <c r="D26" s="136" t="s">
        <v>844</v>
      </c>
      <c r="X26" s="93" t="s">
        <v>1010</v>
      </c>
    </row>
    <row r="27" spans="2:29" ht="18" customHeight="1" x14ac:dyDescent="0.35">
      <c r="B27" s="90" t="s">
        <v>1056</v>
      </c>
      <c r="C27" s="115" t="str">
        <f>VLOOKUP(B27,'Values K-Series'!A108:K111,2,0)</f>
        <v>DKA3200</v>
      </c>
      <c r="D27" s="86">
        <f>VLOOKUP(B27,'Values K-Series'!A108:K111,3,0)</f>
        <v>0</v>
      </c>
      <c r="X27" s="93" t="s">
        <v>1011</v>
      </c>
    </row>
    <row r="28" spans="2:29" ht="18" customHeight="1" x14ac:dyDescent="0.35">
      <c r="B28" s="390" t="s">
        <v>1009</v>
      </c>
      <c r="C28" s="391"/>
      <c r="D28" s="102" t="s">
        <v>90</v>
      </c>
      <c r="E28" s="103"/>
      <c r="F28" s="103"/>
      <c r="X28" s="93" t="s">
        <v>977</v>
      </c>
    </row>
    <row r="29" spans="2:29" ht="18" customHeight="1" x14ac:dyDescent="0.35">
      <c r="B29" s="90" t="s">
        <v>1027</v>
      </c>
      <c r="C29" s="115" t="str">
        <f>VLOOKUP(B29,'Values K-Series'!A113:B114,2,0)</f>
        <v>DKA3440/3450/34..</v>
      </c>
      <c r="D29" s="86">
        <f>IF(B29="Clothe-guard",0,VLOOKUP(B31,'Values K-Series'!A122:D133,4,0))</f>
        <v>0</v>
      </c>
      <c r="X29" s="93" t="s">
        <v>978</v>
      </c>
    </row>
    <row r="30" spans="2:29" ht="18" customHeight="1" x14ac:dyDescent="0.35">
      <c r="B30" s="88" t="s">
        <v>1060</v>
      </c>
      <c r="C30" s="214"/>
      <c r="D30" s="102" t="s">
        <v>89</v>
      </c>
      <c r="E30" s="102" t="s">
        <v>52</v>
      </c>
      <c r="F30" s="102"/>
    </row>
    <row r="31" spans="2:29" ht="18" customHeight="1" x14ac:dyDescent="0.35">
      <c r="B31" s="90" t="s">
        <v>82</v>
      </c>
      <c r="C31" s="115" t="str">
        <f>VLOOKUP(B31,'Values K-Series'!A122:B133,2,0)</f>
        <v>DKA6200+6250</v>
      </c>
      <c r="D31" s="86">
        <f>VLOOKUP(B31,'Values K-Series'!A122:D133,3,0)</f>
        <v>-22</v>
      </c>
      <c r="E31" s="86">
        <f>2*VLOOKUP(B31,'Values K-Series'!A122:E133,5,0)</f>
        <v>45</v>
      </c>
      <c r="X31" s="92" t="s">
        <v>979</v>
      </c>
    </row>
    <row r="32" spans="2:29" ht="18" customHeight="1" x14ac:dyDescent="0.35">
      <c r="B32" s="88" t="s">
        <v>961</v>
      </c>
      <c r="C32" s="214"/>
      <c r="D32" s="102" t="s">
        <v>229</v>
      </c>
      <c r="E32" s="102" t="s">
        <v>230</v>
      </c>
      <c r="F32" s="102" t="s">
        <v>446</v>
      </c>
      <c r="X32" s="93" t="s">
        <v>980</v>
      </c>
      <c r="AC32" s="282" t="s">
        <v>1000</v>
      </c>
    </row>
    <row r="33" spans="2:47" ht="18" customHeight="1" x14ac:dyDescent="0.35">
      <c r="B33" s="90" t="s">
        <v>31</v>
      </c>
      <c r="C33" s="115" t="str">
        <f>VLOOKUP(B33,'Values K-Series'!A135:B137,2,0)</f>
        <v>DKA6410</v>
      </c>
      <c r="D33" s="96">
        <f>2*(VLOOKUP(B33,'Values K-Series'!A135:C137,3,0)/2)*SIN((VLOOKUP(B31,'Values K-Series'!A122:J133,8,0)*(3.141592/180)))</f>
        <v>0</v>
      </c>
      <c r="E33" s="96">
        <f>2*(VLOOKUP(B33,'Values K-Series'!A135:C137,3,0)/2)*SIN((VLOOKUP(B31,'Values K-Series'!A122:P133,9,0)*(3.141592/180)))</f>
        <v>5.3196949331055103</v>
      </c>
      <c r="F33" s="132">
        <f>VLOOKUP(B33,'Values K-Series'!A135:C137,3,0)/2</f>
        <v>304.8</v>
      </c>
      <c r="X33" s="93" t="s">
        <v>983</v>
      </c>
      <c r="AC33" s="282" t="s">
        <v>1002</v>
      </c>
    </row>
    <row r="34" spans="2:47" ht="18" customHeight="1" x14ac:dyDescent="0.35">
      <c r="B34" s="88" t="s">
        <v>997</v>
      </c>
      <c r="C34" s="104"/>
      <c r="D34" s="102" t="s">
        <v>53</v>
      </c>
      <c r="E34" s="102" t="s">
        <v>93</v>
      </c>
      <c r="F34" s="102"/>
      <c r="G34" s="102" t="s">
        <v>141</v>
      </c>
      <c r="H34" s="102"/>
      <c r="X34" s="93" t="s">
        <v>984</v>
      </c>
      <c r="AC34" s="282" t="s">
        <v>1002</v>
      </c>
    </row>
    <row r="35" spans="2:47" ht="18" customHeight="1" x14ac:dyDescent="0.35">
      <c r="B35" s="90" t="s">
        <v>39</v>
      </c>
      <c r="C35" s="91" t="str">
        <f>VLOOKUP(B35,'Values K-Series'!A139:B142,2,0)</f>
        <v>DKA6510</v>
      </c>
      <c r="D35" s="86">
        <f>VLOOKUP(B35,'Values K-Series'!A139:C142,3,0)</f>
        <v>53</v>
      </c>
      <c r="E35" s="86">
        <f>IF(AND(B35="Active",B29="Clothe-guard"),VLOOKUP(B31,'Values K-Series'!A122:G133,6,0),0)</f>
        <v>0</v>
      </c>
      <c r="G35" s="86">
        <f>IF(AND(B35="Actives",B29="Autres"),VLOOKUP(B31,'Values K-Series'!A122:J133,7,0),0)</f>
        <v>0</v>
      </c>
      <c r="X35" s="86" t="s">
        <v>1012</v>
      </c>
      <c r="AC35" s="282" t="s">
        <v>1001</v>
      </c>
    </row>
    <row r="36" spans="2:47" ht="18" customHeight="1" x14ac:dyDescent="0.35">
      <c r="B36" s="88" t="s">
        <v>998</v>
      </c>
      <c r="C36" s="104"/>
      <c r="D36" s="102" t="s">
        <v>55</v>
      </c>
      <c r="E36" s="103"/>
      <c r="F36" s="103"/>
      <c r="X36" s="93" t="s">
        <v>985</v>
      </c>
      <c r="AC36" s="282" t="s">
        <v>1002</v>
      </c>
    </row>
    <row r="37" spans="2:47" ht="18" customHeight="1" x14ac:dyDescent="0.35">
      <c r="B37" s="90" t="s">
        <v>1033</v>
      </c>
      <c r="C37" s="91" t="str">
        <f>VLOOKUP(B37,'Values K-Series'!A144:B153,2,0)</f>
        <v>DKA6780</v>
      </c>
      <c r="D37" s="86">
        <f>VLOOKUP(B37,'Values K-Series'!A144:C153,3,0)</f>
        <v>90</v>
      </c>
      <c r="X37" s="93" t="s">
        <v>986</v>
      </c>
    </row>
    <row r="38" spans="2:47" ht="18" customHeight="1" x14ac:dyDescent="0.35">
      <c r="B38" s="335" t="s">
        <v>965</v>
      </c>
      <c r="C38" s="337">
        <f>ROUNDUP(D9+D31+D29+E35+E31+D35+D33+E33+D37+G35,0)</f>
        <v>612</v>
      </c>
      <c r="G38" s="334"/>
      <c r="H38" s="216"/>
      <c r="I38" s="105"/>
    </row>
    <row r="39" spans="2:47" ht="18" customHeight="1" thickBot="1" x14ac:dyDescent="0.4">
      <c r="B39" s="336"/>
      <c r="C39" s="338"/>
      <c r="G39" s="334"/>
      <c r="H39" s="216"/>
      <c r="I39" s="105"/>
      <c r="X39" s="92" t="s">
        <v>987</v>
      </c>
      <c r="AI39" s="92"/>
    </row>
    <row r="40" spans="2:47" ht="18" customHeight="1" x14ac:dyDescent="0.35">
      <c r="B40" s="335" t="s">
        <v>966</v>
      </c>
      <c r="C40" s="337">
        <f>ROUNDUP(((E7+48-19.7)*COS(J7))-(11*SIN(J7))+E64+T11+F33+D27+E66,0)</f>
        <v>860</v>
      </c>
      <c r="D40" s="86" t="s">
        <v>878</v>
      </c>
      <c r="X40" s="93" t="s">
        <v>1061</v>
      </c>
      <c r="AI40" s="417"/>
      <c r="AJ40" s="417"/>
      <c r="AK40" s="417"/>
      <c r="AL40" s="417"/>
      <c r="AM40" s="417"/>
      <c r="AN40" s="417"/>
      <c r="AO40" s="417"/>
      <c r="AP40" s="417"/>
      <c r="AQ40" s="417"/>
      <c r="AR40" s="417"/>
      <c r="AS40" s="417"/>
      <c r="AT40" s="417"/>
      <c r="AU40" s="417"/>
    </row>
    <row r="41" spans="2:47" ht="18" customHeight="1" thickBot="1" x14ac:dyDescent="0.4">
      <c r="B41" s="336"/>
      <c r="C41" s="338"/>
      <c r="D41" s="222"/>
      <c r="E41" s="222">
        <f>((E7+48-19.7)*COS(J7))-(11*SIN(J7))</f>
        <v>267.82236160852909</v>
      </c>
      <c r="F41" s="279">
        <f>E64</f>
        <v>73</v>
      </c>
      <c r="G41" s="290">
        <f>T11</f>
        <v>213.64333333333335</v>
      </c>
      <c r="H41" s="86">
        <f>F33</f>
        <v>304.8</v>
      </c>
      <c r="I41" s="281">
        <f>D27</f>
        <v>0</v>
      </c>
    </row>
    <row r="42" spans="2:47" ht="18" customHeight="1" x14ac:dyDescent="0.35">
      <c r="B42" s="335" t="s">
        <v>967</v>
      </c>
      <c r="C42" s="337">
        <f>ROUNDUP(E15+D19+D23-E67,0)</f>
        <v>915</v>
      </c>
      <c r="X42" s="92" t="s">
        <v>1155</v>
      </c>
    </row>
    <row r="43" spans="2:47" ht="18" customHeight="1" thickBot="1" x14ac:dyDescent="0.3">
      <c r="B43" s="336"/>
      <c r="C43" s="338"/>
      <c r="X43" s="407" t="s">
        <v>1156</v>
      </c>
      <c r="Y43" s="410" t="s">
        <v>1159</v>
      </c>
      <c r="Z43" s="411"/>
      <c r="AA43" s="412"/>
      <c r="AB43" s="410" t="s">
        <v>1160</v>
      </c>
      <c r="AC43" s="411"/>
      <c r="AD43" s="412"/>
      <c r="AE43" s="410" t="s">
        <v>1161</v>
      </c>
      <c r="AF43" s="411"/>
      <c r="AG43" s="412"/>
    </row>
    <row r="44" spans="2:47" ht="18" customHeight="1" x14ac:dyDescent="0.25">
      <c r="B44" s="335" t="s">
        <v>1063</v>
      </c>
      <c r="C44" s="389">
        <f>ROUNDUP(F17,1)</f>
        <v>0</v>
      </c>
      <c r="X44" s="408"/>
      <c r="Y44" s="413" t="s">
        <v>478</v>
      </c>
      <c r="Z44" s="415" t="s">
        <v>1162</v>
      </c>
      <c r="AA44" s="416"/>
      <c r="AB44" s="413" t="s">
        <v>478</v>
      </c>
      <c r="AC44" s="415" t="s">
        <v>1162</v>
      </c>
      <c r="AD44" s="416"/>
      <c r="AE44" s="413" t="s">
        <v>478</v>
      </c>
      <c r="AF44" s="415" t="s">
        <v>1162</v>
      </c>
      <c r="AG44" s="416"/>
    </row>
    <row r="45" spans="2:47" ht="50.5" thickBot="1" x14ac:dyDescent="0.3">
      <c r="B45" s="336"/>
      <c r="C45" s="346"/>
      <c r="X45" s="409"/>
      <c r="Y45" s="414"/>
      <c r="Z45" s="316" t="s">
        <v>1163</v>
      </c>
      <c r="AA45" s="317" t="s">
        <v>1164</v>
      </c>
      <c r="AB45" s="414"/>
      <c r="AC45" s="316" t="s">
        <v>1163</v>
      </c>
      <c r="AD45" s="317" t="s">
        <v>1164</v>
      </c>
      <c r="AE45" s="414"/>
      <c r="AF45" s="316" t="s">
        <v>1163</v>
      </c>
      <c r="AG45" s="317" t="s">
        <v>1164</v>
      </c>
    </row>
    <row r="46" spans="2:47" ht="18" customHeight="1" x14ac:dyDescent="0.35">
      <c r="B46" s="335" t="s">
        <v>968</v>
      </c>
      <c r="C46" s="389">
        <f>ROUNDUP(C44+D25,1)</f>
        <v>90</v>
      </c>
      <c r="D46" s="93"/>
      <c r="E46" s="106" t="s">
        <v>247</v>
      </c>
      <c r="F46" s="106"/>
      <c r="G46" s="93"/>
      <c r="H46" s="93"/>
      <c r="I46" s="93"/>
      <c r="X46" s="404" t="s">
        <v>1157</v>
      </c>
      <c r="Y46" s="307">
        <v>450</v>
      </c>
      <c r="Z46" s="308" t="s">
        <v>1081</v>
      </c>
      <c r="AA46" s="309" t="s">
        <v>1082</v>
      </c>
      <c r="AB46" s="307">
        <v>460</v>
      </c>
      <c r="AC46" s="308" t="s">
        <v>1083</v>
      </c>
      <c r="AD46" s="309" t="s">
        <v>1084</v>
      </c>
      <c r="AE46" s="307">
        <v>470</v>
      </c>
      <c r="AF46" s="308" t="s">
        <v>1085</v>
      </c>
      <c r="AG46" s="309" t="s">
        <v>1086</v>
      </c>
    </row>
    <row r="47" spans="2:47" ht="18" customHeight="1" thickBot="1" x14ac:dyDescent="0.4">
      <c r="B47" s="336"/>
      <c r="C47" s="346"/>
      <c r="D47" s="98" t="s">
        <v>94</v>
      </c>
      <c r="E47" s="107">
        <f>D9+D31+D29+E35+G35</f>
        <v>418</v>
      </c>
      <c r="F47" s="107"/>
      <c r="G47" s="93" t="s">
        <v>248</v>
      </c>
      <c r="H47" s="93"/>
      <c r="I47" s="93"/>
      <c r="X47" s="405"/>
      <c r="Y47" s="310">
        <v>460</v>
      </c>
      <c r="Z47" s="311" t="s">
        <v>1087</v>
      </c>
      <c r="AA47" s="312" t="s">
        <v>1088</v>
      </c>
      <c r="AB47" s="310">
        <v>470</v>
      </c>
      <c r="AC47" s="311" t="s">
        <v>1089</v>
      </c>
      <c r="AD47" s="312" t="s">
        <v>1090</v>
      </c>
      <c r="AE47" s="310">
        <v>480</v>
      </c>
      <c r="AF47" s="311" t="s">
        <v>1091</v>
      </c>
      <c r="AG47" s="312" t="s">
        <v>1092</v>
      </c>
    </row>
    <row r="48" spans="2:47" ht="18" customHeight="1" x14ac:dyDescent="0.35">
      <c r="C48" s="149"/>
      <c r="D48" s="98"/>
      <c r="E48" s="107"/>
      <c r="F48" s="107"/>
      <c r="G48" s="93" t="s">
        <v>249</v>
      </c>
      <c r="H48" s="93"/>
      <c r="I48" s="93"/>
      <c r="X48" s="406"/>
      <c r="Y48" s="313">
        <v>470</v>
      </c>
      <c r="Z48" s="314" t="s">
        <v>1093</v>
      </c>
      <c r="AA48" s="315" t="s">
        <v>1094</v>
      </c>
      <c r="AB48" s="313">
        <v>480</v>
      </c>
      <c r="AC48" s="314" t="s">
        <v>1095</v>
      </c>
      <c r="AD48" s="315" t="s">
        <v>1096</v>
      </c>
      <c r="AE48" s="313">
        <v>490</v>
      </c>
      <c r="AF48" s="314" t="s">
        <v>1097</v>
      </c>
      <c r="AG48" s="315" t="s">
        <v>1098</v>
      </c>
    </row>
    <row r="49" spans="2:33" ht="18" customHeight="1" x14ac:dyDescent="0.35">
      <c r="D49" s="93"/>
      <c r="E49" s="93"/>
      <c r="F49" s="93"/>
      <c r="G49" s="93" t="s">
        <v>250</v>
      </c>
      <c r="H49" s="93"/>
      <c r="I49" s="93"/>
      <c r="X49" s="404" t="s">
        <v>1099</v>
      </c>
      <c r="Y49" s="307">
        <v>480</v>
      </c>
      <c r="Z49" s="308" t="s">
        <v>1100</v>
      </c>
      <c r="AA49" s="309" t="s">
        <v>1101</v>
      </c>
      <c r="AB49" s="307">
        <v>490</v>
      </c>
      <c r="AC49" s="308" t="s">
        <v>1102</v>
      </c>
      <c r="AD49" s="309" t="s">
        <v>1103</v>
      </c>
      <c r="AE49" s="307">
        <v>500</v>
      </c>
      <c r="AF49" s="308" t="s">
        <v>1104</v>
      </c>
      <c r="AG49" s="309" t="s">
        <v>1105</v>
      </c>
    </row>
    <row r="50" spans="2:33" ht="18" customHeight="1" x14ac:dyDescent="0.35">
      <c r="D50" s="93"/>
      <c r="E50" s="93"/>
      <c r="F50" s="93"/>
      <c r="G50" s="93" t="s">
        <v>251</v>
      </c>
      <c r="H50" s="93"/>
      <c r="I50" s="93"/>
      <c r="X50" s="405"/>
      <c r="Y50" s="310">
        <v>490</v>
      </c>
      <c r="Z50" s="311" t="s">
        <v>1106</v>
      </c>
      <c r="AA50" s="312" t="s">
        <v>1107</v>
      </c>
      <c r="AB50" s="310">
        <v>500</v>
      </c>
      <c r="AC50" s="311" t="s">
        <v>1108</v>
      </c>
      <c r="AD50" s="312" t="s">
        <v>1109</v>
      </c>
      <c r="AE50" s="310">
        <v>510</v>
      </c>
      <c r="AF50" s="311" t="s">
        <v>1110</v>
      </c>
      <c r="AG50" s="312" t="s">
        <v>1111</v>
      </c>
    </row>
    <row r="51" spans="2:33" ht="18" customHeight="1" x14ac:dyDescent="0.35">
      <c r="D51" s="98"/>
      <c r="E51" s="107"/>
      <c r="F51" s="107"/>
      <c r="G51" s="93" t="s">
        <v>252</v>
      </c>
      <c r="H51" s="93"/>
      <c r="I51" s="93"/>
      <c r="X51" s="406"/>
      <c r="Y51" s="313">
        <v>500</v>
      </c>
      <c r="Z51" s="314" t="s">
        <v>1112</v>
      </c>
      <c r="AA51" s="315" t="s">
        <v>1113</v>
      </c>
      <c r="AB51" s="313">
        <v>510</v>
      </c>
      <c r="AC51" s="314" t="s">
        <v>1114</v>
      </c>
      <c r="AD51" s="315" t="s">
        <v>1115</v>
      </c>
      <c r="AE51" s="313">
        <v>520</v>
      </c>
      <c r="AF51" s="314" t="s">
        <v>1116</v>
      </c>
      <c r="AG51" s="315" t="s">
        <v>1117</v>
      </c>
    </row>
    <row r="52" spans="2:33" ht="18" customHeight="1" x14ac:dyDescent="0.35">
      <c r="D52" s="98"/>
      <c r="E52" s="107"/>
      <c r="F52" s="107"/>
      <c r="G52" s="93" t="s">
        <v>253</v>
      </c>
      <c r="H52" s="93"/>
      <c r="I52" s="93"/>
      <c r="X52" s="404" t="s">
        <v>1118</v>
      </c>
      <c r="Y52" s="307">
        <v>500</v>
      </c>
      <c r="Z52" s="308" t="s">
        <v>1112</v>
      </c>
      <c r="AA52" s="309" t="s">
        <v>1113</v>
      </c>
      <c r="AB52" s="307">
        <v>510</v>
      </c>
      <c r="AC52" s="308" t="s">
        <v>1114</v>
      </c>
      <c r="AD52" s="309" t="s">
        <v>1115</v>
      </c>
      <c r="AE52" s="307">
        <v>520</v>
      </c>
      <c r="AF52" s="308" t="s">
        <v>1116</v>
      </c>
      <c r="AG52" s="309" t="s">
        <v>1117</v>
      </c>
    </row>
    <row r="53" spans="2:33" ht="18" customHeight="1" x14ac:dyDescent="0.35">
      <c r="D53" s="98" t="s">
        <v>95</v>
      </c>
      <c r="E53" s="107">
        <f>E31</f>
        <v>45</v>
      </c>
      <c r="F53" s="107"/>
      <c r="G53" s="93" t="s">
        <v>254</v>
      </c>
      <c r="H53" s="93"/>
      <c r="I53" s="93"/>
      <c r="X53" s="405"/>
      <c r="Y53" s="310">
        <v>510</v>
      </c>
      <c r="Z53" s="311" t="s">
        <v>1119</v>
      </c>
      <c r="AA53" s="312" t="s">
        <v>1120</v>
      </c>
      <c r="AB53" s="310">
        <v>520</v>
      </c>
      <c r="AC53" s="311" t="s">
        <v>1121</v>
      </c>
      <c r="AD53" s="312" t="s">
        <v>1122</v>
      </c>
      <c r="AE53" s="310">
        <v>530</v>
      </c>
      <c r="AF53" s="311" t="s">
        <v>1123</v>
      </c>
      <c r="AG53" s="312" t="s">
        <v>1124</v>
      </c>
    </row>
    <row r="54" spans="2:33" ht="18" customHeight="1" x14ac:dyDescent="0.35">
      <c r="D54" s="98" t="s">
        <v>96</v>
      </c>
      <c r="E54" s="107">
        <f>D35</f>
        <v>53</v>
      </c>
      <c r="F54" s="107"/>
      <c r="G54" s="93" t="s">
        <v>255</v>
      </c>
      <c r="H54" s="93"/>
      <c r="I54" s="93"/>
      <c r="X54" s="406"/>
      <c r="Y54" s="313">
        <v>520</v>
      </c>
      <c r="Z54" s="314" t="s">
        <v>1125</v>
      </c>
      <c r="AA54" s="315" t="s">
        <v>1126</v>
      </c>
      <c r="AB54" s="313">
        <v>530</v>
      </c>
      <c r="AC54" s="314" t="s">
        <v>1127</v>
      </c>
      <c r="AD54" s="315" t="s">
        <v>1128</v>
      </c>
      <c r="AE54" s="313">
        <v>540</v>
      </c>
      <c r="AF54" s="314" t="s">
        <v>1129</v>
      </c>
      <c r="AG54" s="315" t="s">
        <v>1130</v>
      </c>
    </row>
    <row r="55" spans="2:33" ht="18" customHeight="1" x14ac:dyDescent="0.35">
      <c r="D55" s="98" t="s">
        <v>98</v>
      </c>
      <c r="E55" s="108">
        <f>D33+E33</f>
        <v>5.3196949331055103</v>
      </c>
      <c r="F55" s="108"/>
      <c r="G55" s="93" t="s">
        <v>241</v>
      </c>
      <c r="H55" s="93"/>
      <c r="I55" s="93"/>
      <c r="X55" s="404" t="s">
        <v>1158</v>
      </c>
      <c r="Y55" s="307">
        <v>450</v>
      </c>
      <c r="Z55" s="308" t="s">
        <v>1131</v>
      </c>
      <c r="AA55" s="309" t="s">
        <v>1132</v>
      </c>
      <c r="AB55" s="307">
        <v>460</v>
      </c>
      <c r="AC55" s="308" t="s">
        <v>1081</v>
      </c>
      <c r="AD55" s="309" t="s">
        <v>1082</v>
      </c>
      <c r="AE55" s="307">
        <v>470</v>
      </c>
      <c r="AF55" s="308" t="s">
        <v>1083</v>
      </c>
      <c r="AG55" s="309" t="s">
        <v>1084</v>
      </c>
    </row>
    <row r="56" spans="2:33" ht="18" customHeight="1" x14ac:dyDescent="0.35">
      <c r="B56" s="109"/>
      <c r="C56" s="100"/>
      <c r="D56" s="98"/>
      <c r="E56" s="108"/>
      <c r="F56" s="108"/>
      <c r="G56" s="93" t="s">
        <v>256</v>
      </c>
      <c r="H56" s="93"/>
      <c r="I56" s="95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405"/>
      <c r="Y56" s="310">
        <v>460</v>
      </c>
      <c r="Z56" s="311" t="s">
        <v>1133</v>
      </c>
      <c r="AA56" s="312" t="s">
        <v>1134</v>
      </c>
      <c r="AB56" s="310">
        <v>470</v>
      </c>
      <c r="AC56" s="311" t="s">
        <v>1087</v>
      </c>
      <c r="AD56" s="312" t="s">
        <v>1088</v>
      </c>
      <c r="AE56" s="310">
        <v>480</v>
      </c>
      <c r="AF56" s="311" t="s">
        <v>1089</v>
      </c>
      <c r="AG56" s="312" t="s">
        <v>1090</v>
      </c>
    </row>
    <row r="57" spans="2:33" ht="18" customHeight="1" x14ac:dyDescent="0.35">
      <c r="B57" s="100"/>
      <c r="C57" s="100"/>
      <c r="D57" s="98"/>
      <c r="E57" s="108"/>
      <c r="F57" s="108"/>
      <c r="G57" s="93" t="s">
        <v>257</v>
      </c>
      <c r="H57" s="93"/>
      <c r="I57" s="95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  <c r="V57" s="100"/>
      <c r="W57" s="100"/>
      <c r="X57" s="406"/>
      <c r="Y57" s="313">
        <v>470</v>
      </c>
      <c r="Z57" s="314" t="s">
        <v>1135</v>
      </c>
      <c r="AA57" s="315" t="s">
        <v>1136</v>
      </c>
      <c r="AB57" s="313">
        <v>480</v>
      </c>
      <c r="AC57" s="314" t="s">
        <v>1093</v>
      </c>
      <c r="AD57" s="315" t="s">
        <v>1094</v>
      </c>
      <c r="AE57" s="313">
        <v>490</v>
      </c>
      <c r="AF57" s="314" t="s">
        <v>1095</v>
      </c>
      <c r="AG57" s="315" t="s">
        <v>1096</v>
      </c>
    </row>
    <row r="58" spans="2:33" ht="18" customHeight="1" x14ac:dyDescent="0.35">
      <c r="B58" s="100"/>
      <c r="C58" s="100"/>
      <c r="D58" s="98" t="s">
        <v>99</v>
      </c>
      <c r="E58" s="107">
        <f>D37</f>
        <v>90</v>
      </c>
      <c r="F58" s="107"/>
      <c r="G58" s="93" t="s">
        <v>245</v>
      </c>
      <c r="H58" s="93"/>
      <c r="I58" s="95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  <c r="W58" s="100"/>
      <c r="X58" s="404" t="s">
        <v>1137</v>
      </c>
      <c r="Y58" s="307">
        <v>480</v>
      </c>
      <c r="Z58" s="308" t="s">
        <v>1138</v>
      </c>
      <c r="AA58" s="309" t="s">
        <v>1089</v>
      </c>
      <c r="AB58" s="307">
        <v>490</v>
      </c>
      <c r="AC58" s="308" t="s">
        <v>1139</v>
      </c>
      <c r="AD58" s="309" t="s">
        <v>1091</v>
      </c>
      <c r="AE58" s="307">
        <v>500</v>
      </c>
      <c r="AF58" s="308" t="s">
        <v>1106</v>
      </c>
      <c r="AG58" s="309" t="s">
        <v>1107</v>
      </c>
    </row>
    <row r="59" spans="2:33" ht="18" customHeight="1" x14ac:dyDescent="0.35">
      <c r="B59" s="100"/>
      <c r="C59" s="100"/>
      <c r="D59" s="98" t="s">
        <v>399</v>
      </c>
      <c r="E59" s="107">
        <f>D11</f>
        <v>390</v>
      </c>
      <c r="F59" s="107"/>
      <c r="G59" s="93" t="s">
        <v>767</v>
      </c>
      <c r="H59" s="93"/>
      <c r="I59" s="95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405"/>
      <c r="Y59" s="310">
        <v>490</v>
      </c>
      <c r="Z59" s="311" t="s">
        <v>1140</v>
      </c>
      <c r="AA59" s="312" t="s">
        <v>1095</v>
      </c>
      <c r="AB59" s="310">
        <v>500</v>
      </c>
      <c r="AC59" s="311" t="s">
        <v>1141</v>
      </c>
      <c r="AD59" s="312" t="s">
        <v>1097</v>
      </c>
      <c r="AE59" s="310">
        <v>510</v>
      </c>
      <c r="AF59" s="311" t="s">
        <v>1112</v>
      </c>
      <c r="AG59" s="312" t="s">
        <v>1113</v>
      </c>
    </row>
    <row r="60" spans="2:33" ht="18" customHeight="1" x14ac:dyDescent="0.35">
      <c r="B60" s="100"/>
      <c r="C60" s="100"/>
      <c r="D60" s="101" t="s">
        <v>406</v>
      </c>
      <c r="E60" s="221">
        <f>D13</f>
        <v>42</v>
      </c>
      <c r="F60" s="221"/>
      <c r="G60" s="100" t="s">
        <v>676</v>
      </c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  <c r="U60" s="100"/>
      <c r="V60" s="100"/>
      <c r="W60" s="100"/>
      <c r="X60" s="406"/>
      <c r="Y60" s="313">
        <v>500</v>
      </c>
      <c r="Z60" s="314" t="s">
        <v>1142</v>
      </c>
      <c r="AA60" s="315" t="s">
        <v>1143</v>
      </c>
      <c r="AB60" s="313">
        <v>510</v>
      </c>
      <c r="AC60" s="314" t="s">
        <v>1144</v>
      </c>
      <c r="AD60" s="315" t="s">
        <v>1145</v>
      </c>
      <c r="AE60" s="313">
        <v>520</v>
      </c>
      <c r="AF60" s="314" t="s">
        <v>1119</v>
      </c>
      <c r="AG60" s="315" t="s">
        <v>1120</v>
      </c>
    </row>
    <row r="61" spans="2:33" ht="18" customHeight="1" x14ac:dyDescent="0.35">
      <c r="B61" s="100"/>
      <c r="C61" s="100"/>
      <c r="D61" s="101" t="s">
        <v>771</v>
      </c>
      <c r="E61" s="224">
        <f>F7</f>
        <v>424.8711148546156</v>
      </c>
      <c r="F61" s="100"/>
      <c r="G61" s="100" t="s">
        <v>772</v>
      </c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404" t="s">
        <v>1146</v>
      </c>
      <c r="Y61" s="307">
        <v>500</v>
      </c>
      <c r="Z61" s="308" t="s">
        <v>1142</v>
      </c>
      <c r="AA61" s="309" t="s">
        <v>1143</v>
      </c>
      <c r="AB61" s="307">
        <v>510</v>
      </c>
      <c r="AC61" s="308" t="s">
        <v>1144</v>
      </c>
      <c r="AD61" s="309" t="s">
        <v>1145</v>
      </c>
      <c r="AE61" s="307">
        <v>520</v>
      </c>
      <c r="AF61" s="308" t="s">
        <v>1119</v>
      </c>
      <c r="AG61" s="309" t="s">
        <v>1120</v>
      </c>
    </row>
    <row r="62" spans="2:33" ht="18" customHeight="1" x14ac:dyDescent="0.35">
      <c r="B62" s="100"/>
      <c r="C62" s="100"/>
      <c r="D62" s="101" t="s">
        <v>774</v>
      </c>
      <c r="E62" s="224">
        <f>D17-E61</f>
        <v>65.128885145384402</v>
      </c>
      <c r="F62" s="100"/>
      <c r="G62" s="100" t="s">
        <v>773</v>
      </c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/>
      <c r="U62" s="100"/>
      <c r="V62" s="100"/>
      <c r="W62" s="100"/>
      <c r="X62" s="405"/>
      <c r="Y62" s="310">
        <v>510</v>
      </c>
      <c r="Z62" s="311" t="s">
        <v>1147</v>
      </c>
      <c r="AA62" s="312" t="s">
        <v>1104</v>
      </c>
      <c r="AB62" s="310">
        <v>520</v>
      </c>
      <c r="AC62" s="311" t="s">
        <v>1148</v>
      </c>
      <c r="AD62" s="312" t="s">
        <v>1149</v>
      </c>
      <c r="AE62" s="310">
        <v>530</v>
      </c>
      <c r="AF62" s="311" t="s">
        <v>1125</v>
      </c>
      <c r="AG62" s="312" t="s">
        <v>1126</v>
      </c>
    </row>
    <row r="63" spans="2:33" ht="18" customHeight="1" x14ac:dyDescent="0.35">
      <c r="B63" s="100"/>
      <c r="C63" s="100"/>
      <c r="D63" s="101" t="s">
        <v>778</v>
      </c>
      <c r="E63" s="225">
        <f>(E62-((D13-20)*SIN(E17)))/COS(E17)</f>
        <v>65.128885145384402</v>
      </c>
      <c r="F63" s="100"/>
      <c r="G63" s="100" t="s">
        <v>775</v>
      </c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406"/>
      <c r="Y63" s="313">
        <v>520</v>
      </c>
      <c r="Z63" s="314" t="s">
        <v>1150</v>
      </c>
      <c r="AA63" s="315" t="s">
        <v>1110</v>
      </c>
      <c r="AB63" s="313">
        <v>530</v>
      </c>
      <c r="AC63" s="314" t="s">
        <v>1151</v>
      </c>
      <c r="AD63" s="315" t="s">
        <v>1152</v>
      </c>
      <c r="AE63" s="313">
        <v>540</v>
      </c>
      <c r="AF63" s="314" t="s">
        <v>1153</v>
      </c>
      <c r="AG63" s="315" t="s">
        <v>1154</v>
      </c>
    </row>
    <row r="64" spans="2:33" ht="18" customHeight="1" x14ac:dyDescent="0.35">
      <c r="B64" s="100"/>
      <c r="C64" s="100"/>
      <c r="D64" s="101" t="s">
        <v>776</v>
      </c>
      <c r="E64" s="86">
        <f>(COS(E17)*((D13-19)+G11))-(E63*SIN(E17))</f>
        <v>73</v>
      </c>
      <c r="G64" s="86" t="s">
        <v>777</v>
      </c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  <c r="Y64" s="100"/>
      <c r="Z64" s="100"/>
      <c r="AA64" s="100"/>
    </row>
    <row r="65" spans="2:27" ht="18" customHeight="1" x14ac:dyDescent="0.35">
      <c r="B65" s="100"/>
      <c r="C65" s="100"/>
      <c r="D65" s="100"/>
      <c r="E65" s="100"/>
      <c r="F65" s="100"/>
      <c r="G65" s="223" t="s">
        <v>779</v>
      </c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  <c r="W65" s="100"/>
      <c r="X65" s="100"/>
      <c r="Y65" s="100"/>
      <c r="Z65" s="100"/>
      <c r="AA65" s="100"/>
    </row>
    <row r="66" spans="2:27" ht="18" customHeight="1" x14ac:dyDescent="0.35">
      <c r="B66" s="100"/>
      <c r="C66" s="100"/>
      <c r="D66" s="101" t="s">
        <v>881</v>
      </c>
      <c r="E66" s="301">
        <v>0</v>
      </c>
      <c r="F66" s="100"/>
      <c r="G66" s="100" t="s">
        <v>877</v>
      </c>
      <c r="H66" s="100"/>
      <c r="I66" s="100"/>
      <c r="J66" s="100"/>
      <c r="K66" s="100"/>
      <c r="L66" s="100"/>
      <c r="M66" s="100"/>
      <c r="N66" s="100"/>
      <c r="O66" s="100"/>
      <c r="P66" s="100"/>
      <c r="Q66" s="100"/>
      <c r="R66" s="100"/>
      <c r="S66" s="100"/>
      <c r="T66" s="100"/>
      <c r="U66" s="100"/>
      <c r="V66" s="100"/>
      <c r="W66" s="100"/>
      <c r="X66" s="100"/>
      <c r="Y66" s="100"/>
      <c r="Z66" s="100"/>
      <c r="AA66" s="100"/>
    </row>
    <row r="67" spans="2:27" ht="18" customHeight="1" x14ac:dyDescent="0.35">
      <c r="D67" s="101" t="s">
        <v>882</v>
      </c>
      <c r="E67" s="86">
        <v>5</v>
      </c>
      <c r="G67" s="100" t="s">
        <v>883</v>
      </c>
    </row>
    <row r="68" spans="2:27" ht="18" customHeight="1" x14ac:dyDescent="0.35">
      <c r="D68" s="101"/>
      <c r="G68" s="282"/>
    </row>
    <row r="69" spans="2:27" ht="18" customHeight="1" x14ac:dyDescent="0.35">
      <c r="D69" s="101"/>
      <c r="E69" s="280"/>
      <c r="G69" s="100"/>
    </row>
    <row r="70" spans="2:27" ht="18" customHeight="1" x14ac:dyDescent="0.35">
      <c r="D70" s="101"/>
      <c r="E70" s="280"/>
    </row>
    <row r="71" spans="2:27" ht="18" customHeight="1" x14ac:dyDescent="0.35">
      <c r="D71" s="101"/>
      <c r="E71" s="280"/>
      <c r="G71" s="282"/>
    </row>
    <row r="72" spans="2:27" ht="18" customHeight="1" x14ac:dyDescent="0.35">
      <c r="D72" s="101"/>
      <c r="E72" s="280"/>
      <c r="G72" s="282"/>
    </row>
    <row r="73" spans="2:27" ht="18" hidden="1" customHeight="1" x14ac:dyDescent="0.35">
      <c r="B73" s="298" t="s">
        <v>855</v>
      </c>
      <c r="E73" s="299" t="s">
        <v>871</v>
      </c>
    </row>
    <row r="74" spans="2:27" ht="18" hidden="1" customHeight="1" x14ac:dyDescent="0.35">
      <c r="B74" s="86" t="s">
        <v>850</v>
      </c>
      <c r="D74" s="282" t="s">
        <v>866</v>
      </c>
      <c r="E74" s="282" t="s">
        <v>872</v>
      </c>
    </row>
    <row r="75" spans="2:27" ht="18" hidden="1" customHeight="1" x14ac:dyDescent="0.35">
      <c r="B75" s="86" t="s">
        <v>853</v>
      </c>
      <c r="D75" s="282" t="s">
        <v>867</v>
      </c>
      <c r="E75" s="282" t="s">
        <v>866</v>
      </c>
    </row>
    <row r="76" spans="2:27" ht="18" hidden="1" customHeight="1" x14ac:dyDescent="0.35">
      <c r="B76" s="86" t="s">
        <v>851</v>
      </c>
      <c r="D76" s="282" t="s">
        <v>868</v>
      </c>
      <c r="E76" s="282" t="s">
        <v>875</v>
      </c>
    </row>
    <row r="77" spans="2:27" ht="18" hidden="1" customHeight="1" x14ac:dyDescent="0.35">
      <c r="B77" s="86" t="s">
        <v>852</v>
      </c>
      <c r="D77" s="282" t="s">
        <v>869</v>
      </c>
      <c r="E77" s="282" t="s">
        <v>873</v>
      </c>
    </row>
    <row r="78" spans="2:27" ht="18" hidden="1" customHeight="1" x14ac:dyDescent="0.35">
      <c r="B78" s="86" t="s">
        <v>952</v>
      </c>
      <c r="D78" s="282" t="s">
        <v>870</v>
      </c>
      <c r="E78" s="282" t="s">
        <v>874</v>
      </c>
    </row>
    <row r="79" spans="2:27" ht="18" hidden="1" customHeight="1" x14ac:dyDescent="0.35">
      <c r="B79" s="86" t="s">
        <v>863</v>
      </c>
      <c r="D79" s="282" t="s">
        <v>868</v>
      </c>
      <c r="E79" s="282" t="s">
        <v>875</v>
      </c>
    </row>
    <row r="80" spans="2:27" ht="18" hidden="1" customHeight="1" x14ac:dyDescent="0.35">
      <c r="B80" s="86" t="s">
        <v>948</v>
      </c>
      <c r="D80" s="282" t="s">
        <v>953</v>
      </c>
      <c r="E80" s="282" t="s">
        <v>950</v>
      </c>
    </row>
    <row r="81" spans="2:6" ht="18" hidden="1" customHeight="1" x14ac:dyDescent="0.35">
      <c r="B81" s="86" t="s">
        <v>949</v>
      </c>
      <c r="D81" s="282" t="s">
        <v>954</v>
      </c>
      <c r="E81" s="282" t="s">
        <v>951</v>
      </c>
    </row>
    <row r="82" spans="2:6" ht="18" hidden="1" customHeight="1" x14ac:dyDescent="0.35"/>
    <row r="83" spans="2:6" ht="18" hidden="1" customHeight="1" x14ac:dyDescent="0.35">
      <c r="B83" s="298" t="s">
        <v>856</v>
      </c>
    </row>
    <row r="84" spans="2:6" ht="18" hidden="1" customHeight="1" x14ac:dyDescent="0.35">
      <c r="B84" s="298" t="s">
        <v>859</v>
      </c>
      <c r="D84" s="86" t="s">
        <v>860</v>
      </c>
      <c r="F84" s="282" t="s">
        <v>879</v>
      </c>
    </row>
    <row r="85" spans="2:6" ht="18" hidden="1" customHeight="1" x14ac:dyDescent="0.35">
      <c r="D85" s="86" t="s">
        <v>861</v>
      </c>
    </row>
    <row r="86" spans="2:6" ht="18" hidden="1" customHeight="1" x14ac:dyDescent="0.35">
      <c r="B86" s="86" t="s">
        <v>857</v>
      </c>
      <c r="D86" s="86" t="s">
        <v>860</v>
      </c>
      <c r="F86" s="282" t="s">
        <v>871</v>
      </c>
    </row>
    <row r="87" spans="2:6" ht="18" hidden="1" customHeight="1" x14ac:dyDescent="0.35">
      <c r="B87" s="86" t="s">
        <v>854</v>
      </c>
      <c r="D87" s="86" t="s">
        <v>862</v>
      </c>
      <c r="F87" s="282" t="s">
        <v>880</v>
      </c>
    </row>
    <row r="88" spans="2:6" ht="18" hidden="1" customHeight="1" x14ac:dyDescent="0.35">
      <c r="B88" s="298" t="s">
        <v>858</v>
      </c>
      <c r="D88" s="86" t="s">
        <v>862</v>
      </c>
      <c r="F88" s="282" t="s">
        <v>871</v>
      </c>
    </row>
    <row r="89" spans="2:6" ht="18" hidden="1" customHeight="1" x14ac:dyDescent="0.35">
      <c r="B89" s="86" t="s">
        <v>864</v>
      </c>
      <c r="D89" s="86" t="s">
        <v>865</v>
      </c>
      <c r="F89" s="282" t="s">
        <v>866</v>
      </c>
    </row>
  </sheetData>
  <sheetProtection algorithmName="SHA-512" hashValue="YMVvQGW7uttsoiXJdLWZYAVywkV5S3yJFhBYyTvkJq0qP0WjtV7aPdnBJkteHjD7IjuIGgikWF8G5GCtQ0bm3A==" saltValue="5rmVnuVshxk5Pc2j9iHOhA==" spinCount="100000" sheet="1" objects="1" scenarios="1"/>
  <protectedRanges>
    <protectedRange sqref="B7 B9 B11 B13 B15 B17 B19 B21 B23 B25 B27 B29 B31 B33 B35 B37" name="Plage1"/>
  </protectedRanges>
  <dataConsolidate/>
  <mergeCells count="31">
    <mergeCell ref="AI40:AU40"/>
    <mergeCell ref="B28:C28"/>
    <mergeCell ref="B4:B5"/>
    <mergeCell ref="C4:C5"/>
    <mergeCell ref="B38:B39"/>
    <mergeCell ref="C38:C39"/>
    <mergeCell ref="G38:G39"/>
    <mergeCell ref="B46:B47"/>
    <mergeCell ref="C46:C47"/>
    <mergeCell ref="B40:B41"/>
    <mergeCell ref="C40:C41"/>
    <mergeCell ref="B42:B43"/>
    <mergeCell ref="C42:C43"/>
    <mergeCell ref="B44:B45"/>
    <mergeCell ref="C44:C45"/>
    <mergeCell ref="X43:X45"/>
    <mergeCell ref="Y43:AA43"/>
    <mergeCell ref="AB43:AD43"/>
    <mergeCell ref="AE43:AG43"/>
    <mergeCell ref="Y44:Y45"/>
    <mergeCell ref="Z44:AA44"/>
    <mergeCell ref="AB44:AB45"/>
    <mergeCell ref="AC44:AD44"/>
    <mergeCell ref="AE44:AE45"/>
    <mergeCell ref="AF44:AG44"/>
    <mergeCell ref="X61:X63"/>
    <mergeCell ref="X46:X48"/>
    <mergeCell ref="X49:X51"/>
    <mergeCell ref="X52:X54"/>
    <mergeCell ref="X55:X57"/>
    <mergeCell ref="X58:X60"/>
  </mergeCells>
  <conditionalFormatting sqref="C48">
    <cfRule type="expression" dxfId="0" priority="1">
      <formula>$E37="x"</formula>
    </cfRule>
  </conditionalFormatting>
  <pageMargins left="0.7" right="0.7" top="0.75" bottom="0.75" header="0.3" footer="0.3"/>
  <pageSetup paperSize="9" orientation="portrait" r:id="rId1"/>
  <ignoredErrors>
    <ignoredError sqref="C40 C42" evalError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 xr:uid="{70A5C179-29F1-455D-9B37-5CD4D79EFAE2}">
          <x14:formula1>
            <xm:f>'Values K-Series'!$A$144:$A$153</xm:f>
          </x14:formula1>
          <xm:sqref>B37</xm:sqref>
        </x14:dataValidation>
        <x14:dataValidation type="list" allowBlank="1" showInputMessage="1" showErrorMessage="1" xr:uid="{CB166A3B-F2A8-454E-9C24-0A583BBFEBE6}">
          <x14:formula1>
            <xm:f>'Values K-Series'!$A$139:$A$142</xm:f>
          </x14:formula1>
          <xm:sqref>B35</xm:sqref>
        </x14:dataValidation>
        <x14:dataValidation type="list" allowBlank="1" showInputMessage="1" showErrorMessage="1" xr:uid="{56B776F0-CB5E-4A53-949B-BE9823A139AE}">
          <x14:formula1>
            <xm:f>'Values K-Series'!$A$12:$A$21</xm:f>
          </x14:formula1>
          <xm:sqref>B9</xm:sqref>
        </x14:dataValidation>
        <x14:dataValidation type="list" allowBlank="1" showInputMessage="1" showErrorMessage="1" xr:uid="{4942E902-EEB4-4E21-93E9-AE9AB9524FB0}">
          <x14:formula1>
            <xm:f>'Values K-Series'!$A$122:$A$133</xm:f>
          </x14:formula1>
          <xm:sqref>B31</xm:sqref>
        </x14:dataValidation>
        <x14:dataValidation type="list" allowBlank="1" showInputMessage="1" showErrorMessage="1" xr:uid="{5F630B49-E436-404B-AD49-320770278B8B}">
          <x14:formula1>
            <xm:f>'Values K-Series'!$A$113:$A$114</xm:f>
          </x14:formula1>
          <xm:sqref>B29</xm:sqref>
        </x14:dataValidation>
        <x14:dataValidation type="list" allowBlank="1" showInputMessage="1" showErrorMessage="1" xr:uid="{746A02A1-424D-47E0-93BC-25EF19F961AA}">
          <x14:formula1>
            <xm:f>'Values K-Series'!$A$135:$A$137</xm:f>
          </x14:formula1>
          <xm:sqref>B33</xm:sqref>
        </x14:dataValidation>
        <x14:dataValidation type="list" allowBlank="1" showInputMessage="1" showErrorMessage="1" xr:uid="{D0EE48EF-94BA-429C-AB08-A79D9B6C2AA1}">
          <x14:formula1>
            <xm:f>'Values K-Series'!$A$23:$A$30</xm:f>
          </x14:formula1>
          <xm:sqref>B11</xm:sqref>
        </x14:dataValidation>
        <x14:dataValidation type="list" allowBlank="1" showInputMessage="1" showErrorMessage="1" xr:uid="{4B13723D-FC82-48C7-93F7-BADE5E92EF09}">
          <x14:formula1>
            <xm:f>'Values K-Series'!$A$32:$A$36</xm:f>
          </x14:formula1>
          <xm:sqref>B13</xm:sqref>
        </x14:dataValidation>
        <x14:dataValidation type="list" allowBlank="1" showInputMessage="1" showErrorMessage="1" xr:uid="{C8AFD949-7BF7-458F-B7BD-3B7200444F69}">
          <x14:formula1>
            <xm:f>'Values K-Series'!$A$38:$A$52</xm:f>
          </x14:formula1>
          <xm:sqref>B15</xm:sqref>
        </x14:dataValidation>
        <x14:dataValidation type="list" allowBlank="1" showInputMessage="1" showErrorMessage="1" xr:uid="{6B0EB90B-12E2-404B-8D92-8E310DF86014}">
          <x14:formula1>
            <xm:f>'Values K-Series'!$A$54:$A$61</xm:f>
          </x14:formula1>
          <xm:sqref>B17</xm:sqref>
        </x14:dataValidation>
        <x14:dataValidation type="list" allowBlank="1" showInputMessage="1" showErrorMessage="1" xr:uid="{0A24C33C-3D90-44C8-B5D5-DD695B4EC1A3}">
          <x14:formula1>
            <xm:f>'Values K-Series'!$A$63:$A$73</xm:f>
          </x14:formula1>
          <xm:sqref>B19</xm:sqref>
        </x14:dataValidation>
        <x14:dataValidation type="list" allowBlank="1" showInputMessage="1" showErrorMessage="1" xr:uid="{32AF9EEA-0502-4DEF-AEE3-9A3D17457A72}">
          <x14:formula1>
            <xm:f>'Values K-Series'!$A$75:$A$94</xm:f>
          </x14:formula1>
          <xm:sqref>B21</xm:sqref>
        </x14:dataValidation>
        <x14:dataValidation type="list" allowBlank="1" showInputMessage="1" showErrorMessage="1" xr:uid="{690156BD-79BB-441D-989F-D4D0EAF655C9}">
          <x14:formula1>
            <xm:f>'Values K-Series'!$A$96:$A$99</xm:f>
          </x14:formula1>
          <xm:sqref>B23</xm:sqref>
        </x14:dataValidation>
        <x14:dataValidation type="list" allowBlank="1" showInputMessage="1" showErrorMessage="1" xr:uid="{60579E11-8EC9-4B4B-89F1-A80ACD46AFC8}">
          <x14:formula1>
            <xm:f>'Values K-Series'!$A$101:$A$106</xm:f>
          </x14:formula1>
          <xm:sqref>B25</xm:sqref>
        </x14:dataValidation>
        <x14:dataValidation type="list" allowBlank="1" showInputMessage="1" showErrorMessage="1" xr:uid="{6EBF70ED-6666-4068-9A58-440F78705941}">
          <x14:formula1>
            <xm:f>'Values K-Series'!$A$5:$A$10</xm:f>
          </x14:formula1>
          <xm:sqref>B7</xm:sqref>
        </x14:dataValidation>
        <x14:dataValidation type="list" allowBlank="1" showInputMessage="1" showErrorMessage="1" xr:uid="{2BB82124-8B83-4E59-A930-28EB7F76DDD1}">
          <x14:formula1>
            <xm:f>'Values K-Series'!$A$108:$A$111</xm:f>
          </x14:formula1>
          <xm:sqref>B27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298A0-FBF2-4B2C-8E4C-6910A9370151}">
  <dimension ref="B1:U64"/>
  <sheetViews>
    <sheetView showGridLines="0" zoomScale="80" zoomScaleNormal="80" workbookViewId="0">
      <selection activeCell="C4" sqref="C4:C5"/>
    </sheetView>
  </sheetViews>
  <sheetFormatPr defaultColWidth="8.90625" defaultRowHeight="18" customHeight="1" x14ac:dyDescent="0.35"/>
  <cols>
    <col min="1" max="1" width="5.81640625" style="86" customWidth="1"/>
    <col min="2" max="3" width="32.81640625" style="86" customWidth="1"/>
    <col min="4" max="11" width="8.90625" style="86" hidden="1" customWidth="1"/>
    <col min="12" max="12" width="8.90625" style="86" customWidth="1"/>
    <col min="13" max="13" width="8.90625" style="86" hidden="1" customWidth="1"/>
    <col min="14" max="19" width="8.90625" style="86"/>
    <col min="20" max="20" width="28" style="86" customWidth="1"/>
    <col min="21" max="16384" width="8.90625" style="86"/>
  </cols>
  <sheetData>
    <row r="1" spans="2:17" ht="18" customHeight="1" x14ac:dyDescent="0.35"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</row>
    <row r="2" spans="2:17" ht="18" customHeight="1" x14ac:dyDescent="0.35"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</row>
    <row r="3" spans="2:17" ht="18" customHeight="1" thickBot="1" x14ac:dyDescent="0.4"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</row>
    <row r="4" spans="2:17" ht="18" customHeight="1" x14ac:dyDescent="0.35">
      <c r="B4" s="387" t="s">
        <v>79</v>
      </c>
      <c r="C4" s="339" t="s">
        <v>78</v>
      </c>
    </row>
    <row r="5" spans="2:17" ht="18" customHeight="1" x14ac:dyDescent="0.35">
      <c r="B5" s="388"/>
      <c r="C5" s="340"/>
    </row>
    <row r="6" spans="2:17" ht="18" customHeight="1" x14ac:dyDescent="0.35">
      <c r="B6" s="88" t="s">
        <v>991</v>
      </c>
      <c r="C6" s="110"/>
      <c r="D6" s="102" t="s">
        <v>89</v>
      </c>
    </row>
    <row r="7" spans="2:17" ht="18" customHeight="1" x14ac:dyDescent="0.35">
      <c r="B7" s="119" t="s">
        <v>1017</v>
      </c>
      <c r="C7" s="91" t="str">
        <f>VLOOKUP(B7,'Values KSL'!A5:B6,2,0)</f>
        <v>DSA0100</v>
      </c>
      <c r="D7" s="86">
        <f>VLOOKUP(B7,'Values KSL'!A5:C6,3,0)</f>
        <v>0</v>
      </c>
    </row>
    <row r="8" spans="2:17" ht="18" customHeight="1" x14ac:dyDescent="0.35">
      <c r="B8" s="88" t="s">
        <v>1204</v>
      </c>
      <c r="C8" s="89"/>
      <c r="D8" s="102" t="s">
        <v>1165</v>
      </c>
      <c r="E8" s="102" t="s">
        <v>1166</v>
      </c>
      <c r="F8" s="102" t="s">
        <v>1167</v>
      </c>
      <c r="G8" s="102" t="s">
        <v>1168</v>
      </c>
      <c r="H8" s="102" t="s">
        <v>1169</v>
      </c>
      <c r="I8" s="102" t="s">
        <v>1170</v>
      </c>
      <c r="J8" s="102" t="s">
        <v>1171</v>
      </c>
      <c r="K8" s="102" t="s">
        <v>1172</v>
      </c>
      <c r="L8" s="111"/>
      <c r="M8" s="111"/>
    </row>
    <row r="9" spans="2:17" ht="18" customHeight="1" x14ac:dyDescent="0.35">
      <c r="B9" s="90" t="s">
        <v>620</v>
      </c>
      <c r="C9" s="91" t="str">
        <f>VLOOKUP(B9,'Values KSL'!A8:B9,2,0)</f>
        <v>DSA1020/1030</v>
      </c>
      <c r="D9" s="86">
        <f>IF(B9="75°",75,IF(B9="90°",90,0))</f>
        <v>90</v>
      </c>
      <c r="E9" s="86" cm="1">
        <f t="array" ref="E9">IF(B9="75°",H19,IF(B9="90°",G19,ERREUR))</f>
        <v>85</v>
      </c>
      <c r="F9" s="86" cm="1">
        <f t="array" ref="F9">IF(B27="Repose-pieds en aluminium",HLOOKUP(E9,'Values KSL'!E83:I86,2,0),IF(B27="Repose-pieds en titane",HLOOKUP(E9,'Values KSL'!E83:I86,3,0),IF(B27="Palette monobloc en carbone réglable en angle",HLOOKUP(E9,'Values KSL'!E83:I86,4,0),ERREUR)))</f>
        <v>13.4</v>
      </c>
      <c r="G9" s="86">
        <f>IF(AND(OR(B29="5 = 80 mm",B29="4 = 95 mm",B29="3 = 110 mm"),B13="SD385"),F9+25,IF(AND(OR(B29="1 = 140 mm",B29="2 = 125 mm"),B13="SD385"),F9+49,IF(AND(OR(B29="1 = 140 mm",B29="2 = 125 mm"),B13="SD410"),F9+25,F9)))</f>
        <v>13.4</v>
      </c>
      <c r="H9" s="86">
        <f>F19+E9-90</f>
        <v>5</v>
      </c>
      <c r="I9" s="202">
        <f>G9*COS(H9/(180/3.141592))</f>
        <v>13.349008975632694</v>
      </c>
      <c r="J9" s="202">
        <f>SQRT(POWER(D21,2)-POWER(F9,2))</f>
        <v>429.7911585875168</v>
      </c>
      <c r="K9" s="86">
        <f>J9*SIN(H9/(180/3.141592))</f>
        <v>37.458759879788843</v>
      </c>
    </row>
    <row r="10" spans="2:17" ht="18" customHeight="1" x14ac:dyDescent="0.35">
      <c r="B10" s="88" t="s">
        <v>969</v>
      </c>
      <c r="C10" s="89"/>
      <c r="D10" s="102" t="s">
        <v>90</v>
      </c>
    </row>
    <row r="11" spans="2:17" ht="18" customHeight="1" x14ac:dyDescent="0.35">
      <c r="B11" s="90" t="s">
        <v>6</v>
      </c>
      <c r="C11" s="91" t="str">
        <f>VLOOKUP(B11,'Values KSL'!A11:B16,2,0)</f>
        <v>DSA1330</v>
      </c>
      <c r="D11" s="86">
        <f>VLOOKUP(B11,'Values KSL'!A11:C16,3,0)</f>
        <v>358</v>
      </c>
      <c r="O11" s="92"/>
    </row>
    <row r="12" spans="2:17" ht="18" customHeight="1" x14ac:dyDescent="0.35">
      <c r="B12" s="88" t="s">
        <v>989</v>
      </c>
      <c r="C12" s="89"/>
      <c r="D12" s="102" t="s">
        <v>418</v>
      </c>
      <c r="E12" s="102" t="s">
        <v>1173</v>
      </c>
      <c r="O12" s="92"/>
    </row>
    <row r="13" spans="2:17" ht="18" customHeight="1" x14ac:dyDescent="0.35">
      <c r="B13" s="90" t="s">
        <v>887</v>
      </c>
      <c r="C13" s="91" t="str">
        <f>VLOOKUP(B13,'Values KSL'!A18:B22,2,0)</f>
        <v>DSA0417</v>
      </c>
      <c r="D13" s="86">
        <f>VLOOKUP(B13,'Values KSL'!A18:C22,3,0)</f>
        <v>370</v>
      </c>
      <c r="E13" s="86">
        <f>COS(F19/(180/3.14))*D13</f>
        <v>364.38455206126599</v>
      </c>
      <c r="O13" s="92"/>
    </row>
    <row r="14" spans="2:17" ht="18" customHeight="1" x14ac:dyDescent="0.35">
      <c r="B14" s="88" t="s">
        <v>990</v>
      </c>
      <c r="C14" s="89"/>
      <c r="D14" s="103" t="s">
        <v>474</v>
      </c>
      <c r="E14" s="103" t="s">
        <v>1174</v>
      </c>
      <c r="O14" s="92"/>
    </row>
    <row r="15" spans="2:17" ht="18" customHeight="1" x14ac:dyDescent="0.35">
      <c r="B15" s="90" t="s">
        <v>294</v>
      </c>
      <c r="C15" s="91" t="str">
        <f>VLOOKUP(B15,'Values KSL'!A24:B34,2,0)</f>
        <v>DSA1615</v>
      </c>
      <c r="D15" s="86">
        <f>VLOOKUP(B15,'Values KSL'!A24:C34,3,0)</f>
        <v>300</v>
      </c>
      <c r="E15" s="86">
        <f>D15*SIN((180-C46)*(3.141592/180))</f>
        <v>299.81724476025335</v>
      </c>
      <c r="O15" s="92"/>
    </row>
    <row r="16" spans="2:17" ht="18" customHeight="1" x14ac:dyDescent="0.35">
      <c r="B16" s="88" t="s">
        <v>956</v>
      </c>
      <c r="C16" s="89"/>
      <c r="D16" s="102" t="s">
        <v>478</v>
      </c>
      <c r="E16" s="102" t="s">
        <v>442</v>
      </c>
      <c r="F16" s="102" t="s">
        <v>441</v>
      </c>
      <c r="G16" s="102" t="s">
        <v>1175</v>
      </c>
      <c r="O16" s="92"/>
    </row>
    <row r="17" spans="2:19" ht="18" customHeight="1" x14ac:dyDescent="0.35">
      <c r="B17" s="90" t="s">
        <v>324</v>
      </c>
      <c r="C17" s="91" t="str">
        <f>VLOOKUP(B17,'Values KSL'!A36:B44,2,0)</f>
        <v>DSA1630</v>
      </c>
      <c r="D17" s="86">
        <f>VLOOKUP(B17,'Values KSL'!A36:C44,3,0)</f>
        <v>500</v>
      </c>
      <c r="E17" s="86">
        <f>(D17-D19)/D13</f>
        <v>0.1891891891891892</v>
      </c>
      <c r="F17" s="319">
        <f>E17*(180/3.141592)</f>
        <v>10.839744325187374</v>
      </c>
      <c r="G17" s="86">
        <f>VLOOKUP(B17,'Values KSL'!A36:M44,13,0)+9.3</f>
        <v>54.3</v>
      </c>
      <c r="O17" s="92"/>
    </row>
    <row r="18" spans="2:19" ht="18" customHeight="1" x14ac:dyDescent="0.35">
      <c r="B18" s="88" t="s">
        <v>957</v>
      </c>
      <c r="C18" s="89"/>
      <c r="D18" s="102" t="s">
        <v>479</v>
      </c>
      <c r="E18" s="102" t="s">
        <v>1176</v>
      </c>
      <c r="F18" s="102" t="s">
        <v>1177</v>
      </c>
      <c r="G18" s="102" t="s">
        <v>1178</v>
      </c>
      <c r="H18" s="102" t="s">
        <v>1179</v>
      </c>
      <c r="O18" s="92"/>
    </row>
    <row r="19" spans="2:19" ht="18" customHeight="1" x14ac:dyDescent="0.35">
      <c r="B19" s="90" t="s">
        <v>348</v>
      </c>
      <c r="C19" s="91" t="str">
        <f>VLOOKUP(B19,'Values KSL'!A46:B54,2,0)</f>
        <v>DSA1835</v>
      </c>
      <c r="D19" s="86">
        <f>VLOOKUP(B19,'Values KSL'!A46:C54,3,0)</f>
        <v>430</v>
      </c>
      <c r="E19" s="86">
        <f>D17-D19</f>
        <v>70</v>
      </c>
      <c r="F19" s="86">
        <f>90-(15+VLOOKUP(E19,'Values KSL'!E36:G44,2,0))</f>
        <v>10</v>
      </c>
      <c r="G19" s="86">
        <f>VLOOKUP(E19,'Values KSL'!E36:O44,10,0)</f>
        <v>85</v>
      </c>
      <c r="H19" s="86">
        <f>VLOOKUP(E19,'Values KSL'!E36:O44,11,0)</f>
        <v>95</v>
      </c>
      <c r="O19" s="92"/>
    </row>
    <row r="20" spans="2:19" ht="18" customHeight="1" x14ac:dyDescent="0.35">
      <c r="B20" s="88" t="s">
        <v>958</v>
      </c>
      <c r="C20" s="89"/>
      <c r="D20" s="102" t="s">
        <v>1162</v>
      </c>
      <c r="O20" s="92"/>
    </row>
    <row r="21" spans="2:19" ht="18" customHeight="1" x14ac:dyDescent="0.35">
      <c r="B21" s="90" t="s">
        <v>387</v>
      </c>
      <c r="C21" s="91" t="str">
        <f>VLOOKUP(B21,'Values KSL'!A56:B71,2,0)</f>
        <v>DSA1946</v>
      </c>
      <c r="D21" s="86">
        <f>VLOOKUP(B21,'Values KSL'!A56:C71,3,0)</f>
        <v>430</v>
      </c>
      <c r="O21" s="92"/>
    </row>
    <row r="22" spans="2:19" ht="18" customHeight="1" x14ac:dyDescent="0.35">
      <c r="B22" s="88" t="s">
        <v>1004</v>
      </c>
      <c r="C22" s="89"/>
      <c r="G22" s="320"/>
      <c r="O22" s="92"/>
    </row>
    <row r="23" spans="2:19" ht="18" customHeight="1" x14ac:dyDescent="0.35">
      <c r="B23" s="90" t="s">
        <v>1019</v>
      </c>
      <c r="C23" s="91" t="str">
        <f>VLOOKUP(B23,'Values KSL'!A73:B76,2,0)</f>
        <v>DSA2400</v>
      </c>
      <c r="D23" s="86">
        <f>VLOOKUP(B23,'Values KSL'!A73:C76,3,0)</f>
        <v>5</v>
      </c>
      <c r="G23" s="320"/>
      <c r="O23" s="92"/>
    </row>
    <row r="24" spans="2:19" ht="18" customHeight="1" x14ac:dyDescent="0.35">
      <c r="B24" s="88" t="s">
        <v>992</v>
      </c>
      <c r="C24" s="89"/>
      <c r="G24" s="320"/>
      <c r="N24" s="92"/>
      <c r="O24" s="92"/>
      <c r="P24" s="92" t="s">
        <v>972</v>
      </c>
    </row>
    <row r="25" spans="2:19" ht="18" customHeight="1" x14ac:dyDescent="0.35">
      <c r="B25" s="90" t="s">
        <v>618</v>
      </c>
      <c r="C25" s="91" t="str">
        <f>VLOOKUP(B25,'Values KSL'!A78:B82,2,0)</f>
        <v>DSA2540</v>
      </c>
      <c r="D25" s="86">
        <f>VLOOKUP(B25,'Values KSL'!A78:C82,3,0)</f>
        <v>82</v>
      </c>
      <c r="P25" s="93" t="s">
        <v>973</v>
      </c>
    </row>
    <row r="26" spans="2:19" ht="18" customHeight="1" x14ac:dyDescent="0.35">
      <c r="B26" s="88" t="s">
        <v>1008</v>
      </c>
      <c r="C26" s="89"/>
      <c r="D26" s="102" t="s">
        <v>404</v>
      </c>
      <c r="E26" s="102" t="s">
        <v>1180</v>
      </c>
      <c r="F26" s="102" t="s">
        <v>1181</v>
      </c>
      <c r="P26" s="93" t="s">
        <v>974</v>
      </c>
    </row>
    <row r="27" spans="2:19" ht="18" customHeight="1" x14ac:dyDescent="0.35">
      <c r="B27" s="333" t="s">
        <v>1056</v>
      </c>
      <c r="C27" s="91" t="str">
        <f>VLOOKUP(B27,'Values KSL'!A84:B86,2,0)</f>
        <v>DSA3200</v>
      </c>
      <c r="D27" s="86">
        <f>VLOOKUP(B27,'Values KSL'!A84:C86,3,0)</f>
        <v>110</v>
      </c>
      <c r="E27" s="86">
        <f>VLOOKUP(B9,'Values KSL'!A8:D9,4,0)</f>
        <v>4</v>
      </c>
      <c r="F27" s="86">
        <f>COS(E27/(180/3.141592))*D27</f>
        <v>109.73204564002805</v>
      </c>
      <c r="P27" s="93" t="s">
        <v>975</v>
      </c>
    </row>
    <row r="28" spans="2:19" ht="18" customHeight="1" x14ac:dyDescent="0.35">
      <c r="B28" s="88" t="s">
        <v>993</v>
      </c>
      <c r="C28" s="89"/>
      <c r="D28" s="102" t="s">
        <v>1175</v>
      </c>
      <c r="P28" s="93" t="s">
        <v>977</v>
      </c>
    </row>
    <row r="29" spans="2:19" ht="18" customHeight="1" x14ac:dyDescent="0.35">
      <c r="B29" s="119" t="s">
        <v>1066</v>
      </c>
      <c r="C29" s="91" t="str">
        <f>VLOOKUP(B29,'Values KSL'!A88:B92,2,0)</f>
        <v>DSA6120</v>
      </c>
      <c r="D29" s="86">
        <f>VLOOKUP(E19,'Values KSL'!E36:G44,2,0)</f>
        <v>65</v>
      </c>
      <c r="P29" s="93" t="s">
        <v>978</v>
      </c>
    </row>
    <row r="30" spans="2:19" ht="18" customHeight="1" x14ac:dyDescent="0.35">
      <c r="B30" s="88" t="s">
        <v>961</v>
      </c>
      <c r="C30" s="89"/>
      <c r="D30" s="102" t="s">
        <v>53</v>
      </c>
      <c r="E30" s="102" t="s">
        <v>652</v>
      </c>
    </row>
    <row r="31" spans="2:19" ht="18" customHeight="1" x14ac:dyDescent="0.35">
      <c r="B31" s="90" t="s">
        <v>31</v>
      </c>
      <c r="C31" s="91" t="str">
        <f>VLOOKUP(B31,'Values KSL'!A103:C104,2,0)</f>
        <v>DSA6410</v>
      </c>
      <c r="D31" s="96">
        <f>2*(VLOOKUP(B31,'Values KSL'!A103:C104,3,0)/2)*SIN((VLOOKUP(B37,'Values KSL'!A94:D96,3,0)*(3.141592/180)))</f>
        <v>31.903992294326798</v>
      </c>
      <c r="E31" s="86">
        <f>VLOOKUP(B31,'Values KSL'!A103:C104,3,0)/2</f>
        <v>304.8</v>
      </c>
    </row>
    <row r="32" spans="2:19" ht="18" customHeight="1" x14ac:dyDescent="0.35">
      <c r="B32" s="88" t="s">
        <v>962</v>
      </c>
      <c r="C32" s="89"/>
      <c r="D32" s="102" t="s">
        <v>52</v>
      </c>
      <c r="E32" s="165"/>
      <c r="F32" s="165"/>
      <c r="Q32" s="93"/>
      <c r="R32" s="93"/>
      <c r="S32" s="93"/>
    </row>
    <row r="33" spans="2:21" ht="18" customHeight="1" x14ac:dyDescent="0.35">
      <c r="B33" s="90" t="s">
        <v>40</v>
      </c>
      <c r="C33" s="91" t="str">
        <f>VLOOKUP(B33,'Values KSL'!A98:C101,2,0)</f>
        <v>DSA6550</v>
      </c>
      <c r="D33" s="86">
        <f>VLOOKUP(B33,'Values KSL'!A98:C101,3,0)</f>
        <v>62</v>
      </c>
      <c r="P33" s="92" t="s">
        <v>979</v>
      </c>
    </row>
    <row r="34" spans="2:21" ht="18" customHeight="1" x14ac:dyDescent="0.35">
      <c r="B34" s="88" t="s">
        <v>998</v>
      </c>
      <c r="C34" s="89"/>
      <c r="D34" s="102" t="s">
        <v>54</v>
      </c>
      <c r="P34" s="93" t="s">
        <v>980</v>
      </c>
      <c r="U34" s="282" t="s">
        <v>1000</v>
      </c>
    </row>
    <row r="35" spans="2:21" ht="18" customHeight="1" x14ac:dyDescent="0.35">
      <c r="B35" s="90" t="s">
        <v>813</v>
      </c>
      <c r="C35" s="91" t="str">
        <f>VLOOKUP(B35,'Values KSL'!A106:C115,2,0)</f>
        <v>DSA6720</v>
      </c>
      <c r="D35" s="86">
        <f>VLOOKUP(B35,'Values KSL'!A106:C115,3,0)</f>
        <v>90</v>
      </c>
      <c r="P35" s="93" t="s">
        <v>983</v>
      </c>
      <c r="U35" s="282" t="s">
        <v>1002</v>
      </c>
    </row>
    <row r="36" spans="2:21" ht="18" customHeight="1" x14ac:dyDescent="0.35">
      <c r="B36" s="88" t="s">
        <v>1013</v>
      </c>
      <c r="C36" s="104"/>
      <c r="D36" s="102" t="s">
        <v>53</v>
      </c>
      <c r="E36" s="102" t="s">
        <v>93</v>
      </c>
      <c r="F36" s="102" t="s">
        <v>141</v>
      </c>
      <c r="P36" s="93" t="s">
        <v>984</v>
      </c>
      <c r="U36" s="282" t="s">
        <v>1002</v>
      </c>
    </row>
    <row r="37" spans="2:21" ht="18" customHeight="1" x14ac:dyDescent="0.35">
      <c r="B37" s="90" t="s">
        <v>47</v>
      </c>
      <c r="C37" s="91" t="str">
        <f>VLOOKUP(B37,'Values KSL'!A94:D96,2,0)</f>
        <v>DSA6210</v>
      </c>
      <c r="D37" s="86">
        <f>VLOOKUP(B37,'Values KSL'!A94:D96,3,0)</f>
        <v>3</v>
      </c>
      <c r="E37" s="86">
        <f>VLOOKUP(B37,'Values KSL'!A94:D96,4,0)</f>
        <v>44</v>
      </c>
      <c r="F37" s="86">
        <f>VLOOKUP(B37,'Values KSL'!A94:E96,5,0)</f>
        <v>26</v>
      </c>
      <c r="P37" s="93" t="s">
        <v>985</v>
      </c>
      <c r="U37" s="282" t="s">
        <v>1002</v>
      </c>
    </row>
    <row r="38" spans="2:21" ht="18" customHeight="1" x14ac:dyDescent="0.35">
      <c r="B38" s="335" t="s">
        <v>965</v>
      </c>
      <c r="C38" s="337">
        <f>ROUNDUP(E42+E46+E47+E48,0)</f>
        <v>612</v>
      </c>
      <c r="G38" s="334"/>
      <c r="P38" s="93" t="s">
        <v>986</v>
      </c>
    </row>
    <row r="39" spans="2:21" ht="18" customHeight="1" thickBot="1" x14ac:dyDescent="0.4">
      <c r="B39" s="336"/>
      <c r="C39" s="338"/>
      <c r="G39" s="334"/>
    </row>
    <row r="40" spans="2:21" ht="18" customHeight="1" x14ac:dyDescent="0.35">
      <c r="B40" s="335" t="s">
        <v>966</v>
      </c>
      <c r="C40" s="337">
        <f>ROUNDUP(E52-E53+E54+E55+E56+E57,0)</f>
        <v>776</v>
      </c>
      <c r="P40" s="92" t="s">
        <v>987</v>
      </c>
    </row>
    <row r="41" spans="2:21" ht="18" customHeight="1" thickBot="1" x14ac:dyDescent="0.4">
      <c r="B41" s="336"/>
      <c r="C41" s="338"/>
      <c r="P41" s="93" t="s">
        <v>1061</v>
      </c>
    </row>
    <row r="42" spans="2:21" ht="18" customHeight="1" x14ac:dyDescent="0.35">
      <c r="B42" s="335" t="s">
        <v>967</v>
      </c>
      <c r="C42" s="337">
        <f>ROUNDUP(D19+E15+D23-E49,0)</f>
        <v>730</v>
      </c>
      <c r="D42" s="87" t="s">
        <v>94</v>
      </c>
      <c r="E42" s="318">
        <f>D7+D11+E37+F37</f>
        <v>428</v>
      </c>
      <c r="F42" s="86" t="s">
        <v>264</v>
      </c>
    </row>
    <row r="43" spans="2:21" ht="18" customHeight="1" thickBot="1" x14ac:dyDescent="0.4">
      <c r="B43" s="336"/>
      <c r="C43" s="338"/>
      <c r="D43" s="87"/>
      <c r="E43" s="318"/>
      <c r="F43" s="86" t="s">
        <v>266</v>
      </c>
    </row>
    <row r="44" spans="2:21" ht="18" customHeight="1" x14ac:dyDescent="0.35">
      <c r="B44" s="335" t="s">
        <v>1014</v>
      </c>
      <c r="C44" s="389">
        <f>ROUNDUP(F19,1)</f>
        <v>10</v>
      </c>
      <c r="D44" s="87"/>
      <c r="E44" s="318"/>
      <c r="F44" s="86" t="s">
        <v>265</v>
      </c>
    </row>
    <row r="45" spans="2:21" ht="18" customHeight="1" thickBot="1" x14ac:dyDescent="0.4">
      <c r="B45" s="336"/>
      <c r="C45" s="346"/>
      <c r="D45" s="87"/>
      <c r="E45" s="318"/>
      <c r="F45" s="86" t="s">
        <v>267</v>
      </c>
    </row>
    <row r="46" spans="2:21" ht="18" customHeight="1" x14ac:dyDescent="0.35">
      <c r="B46" s="335" t="s">
        <v>968</v>
      </c>
      <c r="C46" s="389">
        <f>ROUNDUP(C44+D25,1)</f>
        <v>92</v>
      </c>
      <c r="D46" s="87" t="s">
        <v>95</v>
      </c>
      <c r="E46" s="318">
        <f>D33</f>
        <v>62</v>
      </c>
      <c r="F46" s="86" t="s">
        <v>268</v>
      </c>
      <c r="O46" s="93"/>
      <c r="P46" s="93"/>
    </row>
    <row r="47" spans="2:21" ht="18" customHeight="1" thickBot="1" x14ac:dyDescent="0.4">
      <c r="B47" s="336"/>
      <c r="C47" s="346"/>
      <c r="D47" s="87" t="s">
        <v>96</v>
      </c>
      <c r="E47" s="113">
        <f>D31</f>
        <v>31.903992294326798</v>
      </c>
      <c r="F47" s="86" t="s">
        <v>269</v>
      </c>
      <c r="O47" s="93"/>
      <c r="P47" s="93"/>
    </row>
    <row r="48" spans="2:21" ht="18" customHeight="1" x14ac:dyDescent="0.35">
      <c r="D48" s="87" t="s">
        <v>98</v>
      </c>
      <c r="E48" s="318">
        <f>D35</f>
        <v>90</v>
      </c>
      <c r="F48" s="86" t="s">
        <v>270</v>
      </c>
      <c r="O48" s="93"/>
      <c r="P48" s="93"/>
    </row>
    <row r="49" spans="4:16" ht="18" customHeight="1" x14ac:dyDescent="0.35">
      <c r="D49" s="87" t="s">
        <v>1182</v>
      </c>
      <c r="E49" s="86">
        <v>5</v>
      </c>
      <c r="F49" s="86" t="s">
        <v>885</v>
      </c>
      <c r="O49" s="95"/>
      <c r="P49" s="92"/>
    </row>
    <row r="50" spans="4:16" ht="18" customHeight="1" x14ac:dyDescent="0.35">
      <c r="D50" s="87" t="s">
        <v>1183</v>
      </c>
      <c r="F50" s="86" t="s">
        <v>1184</v>
      </c>
      <c r="O50" s="93"/>
      <c r="P50" s="93"/>
    </row>
    <row r="51" spans="4:16" ht="18" customHeight="1" x14ac:dyDescent="0.35">
      <c r="D51" s="87" t="s">
        <v>1185</v>
      </c>
      <c r="F51" s="86" t="s">
        <v>1186</v>
      </c>
      <c r="O51" s="93"/>
      <c r="P51" s="93"/>
    </row>
    <row r="52" spans="4:16" ht="18" customHeight="1" x14ac:dyDescent="0.35">
      <c r="D52" s="87" t="s">
        <v>1187</v>
      </c>
      <c r="E52" s="86">
        <f>E31</f>
        <v>304.8</v>
      </c>
      <c r="F52" s="86" t="s">
        <v>1188</v>
      </c>
    </row>
    <row r="53" spans="4:16" ht="18" customHeight="1" x14ac:dyDescent="0.35">
      <c r="D53" s="87" t="s">
        <v>1189</v>
      </c>
      <c r="E53" s="86">
        <f>G17</f>
        <v>54.3</v>
      </c>
      <c r="F53" s="86" t="s">
        <v>1190</v>
      </c>
    </row>
    <row r="54" spans="4:16" ht="18" customHeight="1" x14ac:dyDescent="0.35">
      <c r="D54" s="87" t="s">
        <v>1191</v>
      </c>
      <c r="E54" s="86">
        <f>E13</f>
        <v>364.38455206126599</v>
      </c>
      <c r="F54" s="86" t="s">
        <v>1192</v>
      </c>
    </row>
    <row r="55" spans="4:16" ht="18" customHeight="1" x14ac:dyDescent="0.35">
      <c r="D55" s="87" t="s">
        <v>1193</v>
      </c>
      <c r="E55" s="202">
        <f>I9</f>
        <v>13.349008975632694</v>
      </c>
      <c r="F55" s="86" t="s">
        <v>1194</v>
      </c>
      <c r="O55" s="100"/>
    </row>
    <row r="56" spans="4:16" ht="18" customHeight="1" x14ac:dyDescent="0.35">
      <c r="D56" s="87" t="s">
        <v>1195</v>
      </c>
      <c r="E56" s="86">
        <f>K9</f>
        <v>37.458759879788843</v>
      </c>
      <c r="F56" s="86" t="s">
        <v>1196</v>
      </c>
      <c r="N56" s="114"/>
      <c r="O56" s="100"/>
    </row>
    <row r="57" spans="4:16" ht="18" customHeight="1" x14ac:dyDescent="0.35">
      <c r="D57" s="87" t="s">
        <v>1197</v>
      </c>
      <c r="E57" s="86">
        <f>F27</f>
        <v>109.73204564002805</v>
      </c>
      <c r="F57" s="86" t="s">
        <v>1198</v>
      </c>
      <c r="N57" s="114"/>
      <c r="O57" s="100"/>
    </row>
    <row r="58" spans="4:16" ht="18" customHeight="1" x14ac:dyDescent="0.35">
      <c r="O58" s="100"/>
    </row>
    <row r="60" spans="4:16" ht="18" customHeight="1" x14ac:dyDescent="0.35">
      <c r="D60" s="86" t="s">
        <v>1199</v>
      </c>
    </row>
    <row r="61" spans="4:16" ht="18" customHeight="1" x14ac:dyDescent="0.35">
      <c r="D61" s="86" t="s">
        <v>1200</v>
      </c>
    </row>
    <row r="62" spans="4:16" ht="18" customHeight="1" x14ac:dyDescent="0.35">
      <c r="D62" s="86" t="s">
        <v>1201</v>
      </c>
    </row>
    <row r="63" spans="4:16" ht="18" customHeight="1" x14ac:dyDescent="0.35">
      <c r="D63" s="86" t="s">
        <v>1202</v>
      </c>
    </row>
    <row r="64" spans="4:16" ht="18" customHeight="1" x14ac:dyDescent="0.35">
      <c r="D64" s="86" t="s">
        <v>1203</v>
      </c>
    </row>
  </sheetData>
  <sheetProtection algorithmName="SHA-512" hashValue="c7Dgd/tCiij0Vac3mf8aE76gNIDKcKbUWc7g41+bX2Rx3Q2atPDFpuXj6/iT1lJLlJGQRqiKNjha0cx/+Pcf+w==" saltValue="L4OljvLll9D5TTc830hWWQ==" spinCount="100000" sheet="1" objects="1" scenarios="1"/>
  <protectedRanges>
    <protectedRange sqref="AE35 B7 B11 B13 B15 B17 B19 B21 B23 B25 B27 B29 B31 B33 B35 B37 B9" name="Plage1"/>
  </protectedRanges>
  <dataConsolidate/>
  <mergeCells count="13">
    <mergeCell ref="G38:G39"/>
    <mergeCell ref="B4:B5"/>
    <mergeCell ref="C4:C5"/>
    <mergeCell ref="B38:B39"/>
    <mergeCell ref="C38:C39"/>
    <mergeCell ref="B46:B47"/>
    <mergeCell ref="C46:C47"/>
    <mergeCell ref="B40:B41"/>
    <mergeCell ref="C40:C41"/>
    <mergeCell ref="B42:B43"/>
    <mergeCell ref="C42:C43"/>
    <mergeCell ref="B44:B45"/>
    <mergeCell ref="C44:C45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 xr:uid="{522B3474-1841-46D7-A5CC-6E00FD5B9AF1}">
          <x14:formula1>
            <xm:f>'Values KSL'!$A$94:$A$96</xm:f>
          </x14:formula1>
          <xm:sqref>B37</xm:sqref>
        </x14:dataValidation>
        <x14:dataValidation type="list" allowBlank="1" showInputMessage="1" showErrorMessage="1" xr:uid="{11FE6C34-3C77-488D-9B31-627B0D34A11E}">
          <x14:formula1>
            <xm:f>'Values KSL'!$A$11:$A$16</xm:f>
          </x14:formula1>
          <xm:sqref>B11</xm:sqref>
        </x14:dataValidation>
        <x14:dataValidation type="list" allowBlank="1" showInputMessage="1" showErrorMessage="1" xr:uid="{185A7888-0932-48DB-9D57-AEFCE16EEEAD}">
          <x14:formula1>
            <xm:f>'Values KSL'!$A$98:$A$101</xm:f>
          </x14:formula1>
          <xm:sqref>B33</xm:sqref>
        </x14:dataValidation>
        <x14:dataValidation type="list" allowBlank="1" showInputMessage="1" showErrorMessage="1" xr:uid="{ED4B2416-7F89-4393-82E6-77C9B3D8448B}">
          <x14:formula1>
            <xm:f>'Values KSL'!$A$103:$A$104</xm:f>
          </x14:formula1>
          <xm:sqref>B31</xm:sqref>
        </x14:dataValidation>
        <x14:dataValidation type="list" allowBlank="1" showInputMessage="1" showErrorMessage="1" xr:uid="{0F9E6C39-1DC2-4D01-90AB-C8930CEC6240}">
          <x14:formula1>
            <xm:f>'Values KSL'!$A$106:$A$115</xm:f>
          </x14:formula1>
          <xm:sqref>B35</xm:sqref>
        </x14:dataValidation>
        <x14:dataValidation type="list" allowBlank="1" showInputMessage="1" showErrorMessage="1" xr:uid="{EE3738F7-1BE6-46FF-BB5C-594FCE008BAC}">
          <x14:formula1>
            <xm:f>'Values KSL'!$A$5:$A$6</xm:f>
          </x14:formula1>
          <xm:sqref>B7</xm:sqref>
        </x14:dataValidation>
        <x14:dataValidation type="list" allowBlank="1" showInputMessage="1" showErrorMessage="1" xr:uid="{ACE13CA0-4F80-467F-927E-3FF85699DB18}">
          <x14:formula1>
            <xm:f>'Values KSL'!$A$18:$A$22</xm:f>
          </x14:formula1>
          <xm:sqref>B13</xm:sqref>
        </x14:dataValidation>
        <x14:dataValidation type="list" allowBlank="1" showInputMessage="1" showErrorMessage="1" xr:uid="{14851CF8-7E77-48BE-8620-A5F025FBC1D4}">
          <x14:formula1>
            <xm:f>'Values KSL'!$A$24:$A$34</xm:f>
          </x14:formula1>
          <xm:sqref>B15</xm:sqref>
        </x14:dataValidation>
        <x14:dataValidation type="list" allowBlank="1" showInputMessage="1" showErrorMessage="1" xr:uid="{69D873C7-53E7-4EE0-AF11-0CD1FDE1E0D6}">
          <x14:formula1>
            <xm:f>'Values KSL'!$A$36:$A$44</xm:f>
          </x14:formula1>
          <xm:sqref>B17</xm:sqref>
        </x14:dataValidation>
        <x14:dataValidation type="list" allowBlank="1" showInputMessage="1" showErrorMessage="1" xr:uid="{AF1C2625-FFDB-40BB-8432-646B57C4DBD3}">
          <x14:formula1>
            <xm:f>'Values KSL'!$A$46:$A$54</xm:f>
          </x14:formula1>
          <xm:sqref>B19</xm:sqref>
        </x14:dataValidation>
        <x14:dataValidation type="list" allowBlank="1" showInputMessage="1" showErrorMessage="1" xr:uid="{E99E8D7C-3646-4B19-B646-C3795B7CDE56}">
          <x14:formula1>
            <xm:f>'Values KSL'!$A$56:$A$71</xm:f>
          </x14:formula1>
          <xm:sqref>B21</xm:sqref>
        </x14:dataValidation>
        <x14:dataValidation type="list" allowBlank="1" showInputMessage="1" showErrorMessage="1" xr:uid="{64496E36-892F-48BC-B216-AF9276CC21DF}">
          <x14:formula1>
            <xm:f>'Values KSL'!$A$73:$A$76</xm:f>
          </x14:formula1>
          <xm:sqref>B23</xm:sqref>
        </x14:dataValidation>
        <x14:dataValidation type="list" allowBlank="1" showInputMessage="1" showErrorMessage="1" xr:uid="{15884AD0-33BE-4347-8AAF-BCA27F611673}">
          <x14:formula1>
            <xm:f>'Values KSL'!$A$78:$A$82</xm:f>
          </x14:formula1>
          <xm:sqref>B25</xm:sqref>
        </x14:dataValidation>
        <x14:dataValidation type="list" allowBlank="1" showInputMessage="1" showErrorMessage="1" xr:uid="{4D040A51-81A8-4952-920C-297EC1B128CE}">
          <x14:formula1>
            <xm:f>'Values KSL'!$A$84:$A$86</xm:f>
          </x14:formula1>
          <xm:sqref>B27</xm:sqref>
        </x14:dataValidation>
        <x14:dataValidation type="list" allowBlank="1" showInputMessage="1" showErrorMessage="1" xr:uid="{A1ACB41A-7282-4B68-972E-11D49B7E6334}">
          <x14:formula1>
            <xm:f>'Values KSL'!$A$88:$A$92</xm:f>
          </x14:formula1>
          <xm:sqref>B29</xm:sqref>
        </x14:dataValidation>
        <x14:dataValidation type="list" allowBlank="1" showInputMessage="1" showErrorMessage="1" xr:uid="{D86DE2EA-063F-4BCC-B7AE-228378E9EF62}">
          <x14:formula1>
            <xm:f>'Values KSL'!$A$8:$A$9</xm:f>
          </x14:formula1>
          <xm:sqref>B9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0CD8C-5097-4A92-BAF0-C4AABFEBBAF9}">
  <dimension ref="A2:DK172"/>
  <sheetViews>
    <sheetView topLeftCell="A39" zoomScale="70" zoomScaleNormal="70" workbookViewId="0">
      <selection activeCell="A10" sqref="A10"/>
    </sheetView>
  </sheetViews>
  <sheetFormatPr defaultColWidth="8.90625" defaultRowHeight="14.5" x14ac:dyDescent="0.35"/>
  <cols>
    <col min="1" max="1" width="35.08984375" customWidth="1"/>
    <col min="2" max="2" width="21.90625" bestFit="1" customWidth="1"/>
    <col min="6" max="6" width="11.36328125" bestFit="1" customWidth="1"/>
    <col min="7" max="7" width="14.453125" bestFit="1" customWidth="1"/>
    <col min="8" max="8" width="12.81640625" bestFit="1" customWidth="1"/>
    <col min="9" max="9" width="11.08984375" bestFit="1" customWidth="1"/>
    <col min="10" max="10" width="11.81640625" bestFit="1" customWidth="1"/>
    <col min="11" max="11" width="12.81640625" bestFit="1" customWidth="1"/>
    <col min="12" max="16" width="12.81640625" customWidth="1"/>
    <col min="17" max="17" width="12.81640625" bestFit="1" customWidth="1"/>
  </cols>
  <sheetData>
    <row r="2" spans="1:29" ht="15" thickBot="1" x14ac:dyDescent="0.4">
      <c r="V2" s="21"/>
    </row>
    <row r="3" spans="1:29" ht="15" thickBot="1" x14ac:dyDescent="0.4">
      <c r="A3" s="454" t="s">
        <v>25</v>
      </c>
      <c r="B3" s="455"/>
      <c r="C3" s="454" t="s">
        <v>50</v>
      </c>
      <c r="D3" s="456"/>
      <c r="E3" s="456"/>
      <c r="F3" s="456"/>
      <c r="G3" s="456"/>
      <c r="H3" s="456"/>
      <c r="I3" s="456"/>
      <c r="J3" s="456"/>
      <c r="K3" s="455"/>
      <c r="L3" s="67"/>
      <c r="M3" s="67"/>
      <c r="N3" s="67"/>
      <c r="O3" s="67"/>
      <c r="P3" s="67"/>
      <c r="Q3" s="67"/>
      <c r="V3" s="22"/>
    </row>
    <row r="4" spans="1:29" x14ac:dyDescent="0.35">
      <c r="A4" s="397" t="s">
        <v>661</v>
      </c>
      <c r="B4" s="457"/>
      <c r="C4" s="199" t="s">
        <v>762</v>
      </c>
      <c r="D4" s="199" t="s">
        <v>763</v>
      </c>
      <c r="E4" s="199" t="s">
        <v>764</v>
      </c>
      <c r="F4" s="199" t="s">
        <v>765</v>
      </c>
      <c r="G4" s="199"/>
      <c r="H4" s="199"/>
      <c r="I4" s="199"/>
      <c r="J4" s="199"/>
      <c r="K4" s="217"/>
      <c r="L4" s="199"/>
      <c r="M4" s="199"/>
      <c r="N4" s="199"/>
      <c r="O4" s="199"/>
      <c r="P4" s="199"/>
      <c r="Q4" s="67"/>
      <c r="V4" s="22"/>
    </row>
    <row r="5" spans="1:29" x14ac:dyDescent="0.35">
      <c r="A5" s="78" t="s">
        <v>1045</v>
      </c>
      <c r="B5" s="79" t="s">
        <v>758</v>
      </c>
      <c r="C5" s="199">
        <v>416.4</v>
      </c>
      <c r="D5" s="199">
        <v>265</v>
      </c>
      <c r="E5" s="199">
        <v>85</v>
      </c>
      <c r="F5" s="199">
        <v>22</v>
      </c>
      <c r="G5" s="199"/>
      <c r="H5" s="199"/>
      <c r="I5" s="199"/>
      <c r="J5" s="199"/>
      <c r="K5" s="217"/>
      <c r="L5" s="199"/>
      <c r="M5" s="199"/>
      <c r="N5" s="199"/>
      <c r="O5" s="199"/>
      <c r="P5" s="199"/>
      <c r="Q5" s="67"/>
      <c r="V5" s="22"/>
    </row>
    <row r="6" spans="1:29" x14ac:dyDescent="0.35">
      <c r="A6" s="78" t="s">
        <v>1046</v>
      </c>
      <c r="B6" s="79" t="s">
        <v>758</v>
      </c>
      <c r="C6" s="199">
        <v>409.1</v>
      </c>
      <c r="D6" s="199">
        <v>265</v>
      </c>
      <c r="E6" s="199">
        <v>90</v>
      </c>
      <c r="F6" s="199">
        <v>18</v>
      </c>
      <c r="G6" s="199"/>
      <c r="H6" s="199"/>
      <c r="I6" s="199"/>
      <c r="J6" s="199"/>
      <c r="K6" s="217"/>
      <c r="L6" s="199"/>
      <c r="M6" s="199"/>
      <c r="N6" s="199"/>
      <c r="O6" s="199"/>
      <c r="P6" s="199"/>
      <c r="Q6" s="67"/>
      <c r="V6" s="22"/>
    </row>
    <row r="7" spans="1:29" x14ac:dyDescent="0.35">
      <c r="A7" s="78" t="s">
        <v>1047</v>
      </c>
      <c r="B7" s="79" t="s">
        <v>759</v>
      </c>
      <c r="C7" s="199">
        <v>466.3</v>
      </c>
      <c r="D7" s="199">
        <v>315</v>
      </c>
      <c r="E7" s="199">
        <v>85</v>
      </c>
      <c r="F7" s="199">
        <v>22</v>
      </c>
      <c r="G7" s="199"/>
      <c r="H7" s="199"/>
      <c r="I7" s="199"/>
      <c r="J7" s="199"/>
      <c r="K7" s="217"/>
      <c r="L7" s="199"/>
      <c r="M7" s="199"/>
      <c r="N7" s="199"/>
      <c r="O7" s="199"/>
      <c r="P7" s="199"/>
      <c r="Q7" s="67"/>
      <c r="V7" s="22"/>
    </row>
    <row r="8" spans="1:29" x14ac:dyDescent="0.35">
      <c r="A8" s="78" t="s">
        <v>1048</v>
      </c>
      <c r="B8" s="79" t="s">
        <v>760</v>
      </c>
      <c r="C8" s="199">
        <v>424.5</v>
      </c>
      <c r="D8" s="199">
        <v>265</v>
      </c>
      <c r="E8" s="199">
        <v>70</v>
      </c>
      <c r="F8" s="199">
        <v>22</v>
      </c>
      <c r="G8" s="199"/>
      <c r="H8" s="199"/>
      <c r="I8" s="199"/>
      <c r="J8" s="199"/>
      <c r="K8" s="217"/>
      <c r="L8" s="199"/>
      <c r="M8" s="199"/>
      <c r="N8" s="199"/>
      <c r="O8" s="199"/>
      <c r="P8" s="199"/>
      <c r="Q8" s="67"/>
      <c r="V8" s="22"/>
      <c r="Y8" s="218"/>
    </row>
    <row r="9" spans="1:29" x14ac:dyDescent="0.35">
      <c r="A9" s="78" t="s">
        <v>1049</v>
      </c>
      <c r="B9" s="79" t="s">
        <v>760</v>
      </c>
      <c r="C9" s="199">
        <v>424.4</v>
      </c>
      <c r="D9" s="199">
        <v>265</v>
      </c>
      <c r="E9" s="199">
        <v>75</v>
      </c>
      <c r="F9" s="199">
        <v>18</v>
      </c>
      <c r="G9" s="199"/>
      <c r="H9" s="199"/>
      <c r="I9" s="199"/>
      <c r="J9" s="199"/>
      <c r="K9" s="217"/>
      <c r="L9" s="199"/>
      <c r="M9" s="199"/>
      <c r="N9" s="199"/>
      <c r="O9" s="199"/>
      <c r="P9" s="199"/>
      <c r="Q9" s="67"/>
      <c r="V9" s="22"/>
    </row>
    <row r="10" spans="1:29" x14ac:dyDescent="0.35">
      <c r="A10" s="80" t="s">
        <v>1050</v>
      </c>
      <c r="B10" s="81" t="s">
        <v>761</v>
      </c>
      <c r="C10" s="219">
        <v>471.5</v>
      </c>
      <c r="D10" s="219">
        <v>315</v>
      </c>
      <c r="E10" s="219">
        <v>70</v>
      </c>
      <c r="F10" s="219">
        <v>22</v>
      </c>
      <c r="G10" s="219"/>
      <c r="H10" s="219"/>
      <c r="I10" s="219"/>
      <c r="J10" s="219"/>
      <c r="K10" s="252"/>
      <c r="L10" s="199"/>
      <c r="M10" s="199"/>
      <c r="N10" s="199"/>
      <c r="O10" s="199"/>
      <c r="P10" s="199"/>
      <c r="Q10" s="67"/>
      <c r="V10" s="22"/>
    </row>
    <row r="11" spans="1:29" x14ac:dyDescent="0.35">
      <c r="A11" s="348" t="s">
        <v>24</v>
      </c>
      <c r="B11" s="402"/>
      <c r="C11" s="209" t="s">
        <v>766</v>
      </c>
      <c r="D11" s="4"/>
      <c r="E11" s="4"/>
      <c r="F11" s="4"/>
      <c r="G11" s="4"/>
      <c r="H11" s="4"/>
      <c r="I11" s="4"/>
      <c r="J11" s="4"/>
      <c r="K11" s="2"/>
      <c r="L11" s="4"/>
      <c r="M11" s="4"/>
      <c r="N11" s="4"/>
      <c r="O11" s="4"/>
      <c r="P11" s="4"/>
      <c r="Q11" s="4"/>
      <c r="V11" s="22"/>
    </row>
    <row r="12" spans="1:29" ht="15" thickBot="1" x14ac:dyDescent="0.4">
      <c r="A12" s="12" t="s">
        <v>2</v>
      </c>
      <c r="B12" s="29" t="s">
        <v>105</v>
      </c>
      <c r="C12" s="1">
        <v>320</v>
      </c>
      <c r="D12" s="49"/>
      <c r="E12" s="4"/>
      <c r="F12" s="4"/>
      <c r="G12" s="4"/>
      <c r="H12" s="4"/>
      <c r="I12" s="4"/>
      <c r="J12" s="4"/>
      <c r="K12" s="2"/>
      <c r="L12" s="4"/>
      <c r="M12" s="4"/>
      <c r="N12" s="4"/>
      <c r="O12" s="4"/>
      <c r="P12" s="4"/>
      <c r="Q12" s="4"/>
      <c r="U12" s="18"/>
      <c r="V12" s="18"/>
      <c r="W12" s="18"/>
    </row>
    <row r="13" spans="1:29" ht="14.4" customHeight="1" x14ac:dyDescent="0.35">
      <c r="A13" s="12" t="s">
        <v>3</v>
      </c>
      <c r="B13" s="29" t="s">
        <v>106</v>
      </c>
      <c r="C13" s="1">
        <v>340</v>
      </c>
      <c r="D13" s="49"/>
      <c r="E13" s="4"/>
      <c r="F13" s="4"/>
      <c r="G13" s="8"/>
      <c r="H13" s="8"/>
      <c r="I13" s="8"/>
      <c r="J13" s="8"/>
      <c r="K13" s="38"/>
      <c r="L13" s="8"/>
      <c r="M13" s="8"/>
      <c r="N13" s="8"/>
      <c r="O13" s="8"/>
      <c r="P13" s="8"/>
      <c r="Q13" s="8"/>
      <c r="R13" s="18"/>
      <c r="S13" s="356" t="s">
        <v>100</v>
      </c>
      <c r="T13" s="357"/>
      <c r="U13" s="357"/>
      <c r="V13" s="357"/>
      <c r="W13" s="357"/>
      <c r="X13" s="357"/>
      <c r="Y13" s="358"/>
    </row>
    <row r="14" spans="1:29" ht="14.4" customHeight="1" x14ac:dyDescent="0.35">
      <c r="A14" s="12" t="s">
        <v>4</v>
      </c>
      <c r="B14" s="29" t="s">
        <v>107</v>
      </c>
      <c r="C14" s="1">
        <v>360</v>
      </c>
      <c r="D14" s="49"/>
      <c r="E14" s="4"/>
      <c r="F14" s="4"/>
      <c r="G14" s="4"/>
      <c r="H14" s="4"/>
      <c r="I14" s="4"/>
      <c r="J14" s="4"/>
      <c r="K14" s="2"/>
      <c r="L14" s="4"/>
      <c r="M14" s="4"/>
      <c r="N14" s="4"/>
      <c r="O14" s="4"/>
      <c r="P14" s="4"/>
      <c r="Q14" s="4"/>
      <c r="S14" s="359"/>
      <c r="T14" s="360"/>
      <c r="U14" s="360"/>
      <c r="V14" s="360"/>
      <c r="W14" s="360"/>
      <c r="X14" s="360"/>
      <c r="Y14" s="361"/>
    </row>
    <row r="15" spans="1:29" ht="14.4" customHeight="1" thickBot="1" x14ac:dyDescent="0.4">
      <c r="A15" s="12" t="s">
        <v>5</v>
      </c>
      <c r="B15" s="29" t="s">
        <v>108</v>
      </c>
      <c r="C15" s="1">
        <v>380</v>
      </c>
      <c r="D15" s="49"/>
      <c r="E15" s="4"/>
      <c r="F15" s="4"/>
      <c r="G15" s="4"/>
      <c r="H15" s="4"/>
      <c r="I15" s="4"/>
      <c r="J15" s="4"/>
      <c r="K15" s="2"/>
      <c r="L15" s="4"/>
      <c r="M15" s="4"/>
      <c r="N15" s="4"/>
      <c r="O15" s="4"/>
      <c r="P15" s="4"/>
      <c r="Q15" s="4"/>
      <c r="S15" s="362"/>
      <c r="T15" s="363"/>
      <c r="U15" s="363"/>
      <c r="V15" s="363"/>
      <c r="W15" s="363"/>
      <c r="X15" s="363"/>
      <c r="Y15" s="364"/>
    </row>
    <row r="16" spans="1:29" x14ac:dyDescent="0.35">
      <c r="A16" s="12" t="s">
        <v>6</v>
      </c>
      <c r="B16" s="29" t="s">
        <v>109</v>
      </c>
      <c r="C16" s="1">
        <v>400</v>
      </c>
      <c r="D16" s="49"/>
      <c r="E16" s="4"/>
      <c r="F16" s="4"/>
      <c r="G16" s="4"/>
      <c r="H16" s="4"/>
      <c r="I16" s="4"/>
      <c r="J16" s="4"/>
      <c r="K16" s="2"/>
      <c r="L16" s="4"/>
      <c r="M16" s="4"/>
      <c r="N16" s="4"/>
      <c r="O16" s="4"/>
      <c r="P16" s="4"/>
      <c r="Q16" s="4"/>
      <c r="AC16" s="20"/>
    </row>
    <row r="17" spans="1:19" x14ac:dyDescent="0.35">
      <c r="A17" s="12" t="s">
        <v>16</v>
      </c>
      <c r="B17" s="29" t="s">
        <v>110</v>
      </c>
      <c r="C17" s="1">
        <v>420</v>
      </c>
      <c r="D17" s="49"/>
      <c r="E17" s="4"/>
      <c r="F17" s="4"/>
      <c r="G17" s="4"/>
      <c r="H17" s="4"/>
      <c r="I17" s="4"/>
      <c r="J17" s="4"/>
      <c r="K17" s="2"/>
      <c r="L17" s="4"/>
      <c r="M17" s="4"/>
      <c r="N17" s="4"/>
      <c r="O17" s="4"/>
      <c r="P17" s="4"/>
      <c r="Q17" s="4"/>
      <c r="S17" s="19"/>
    </row>
    <row r="18" spans="1:19" x14ac:dyDescent="0.35">
      <c r="A18" s="12" t="s">
        <v>17</v>
      </c>
      <c r="B18" s="29" t="s">
        <v>111</v>
      </c>
      <c r="C18" s="1">
        <v>440</v>
      </c>
      <c r="D18" s="49"/>
      <c r="E18" s="4"/>
      <c r="F18" s="4"/>
      <c r="G18" s="4"/>
      <c r="H18" s="4"/>
      <c r="I18" s="4"/>
      <c r="J18" s="4"/>
      <c r="K18" s="2"/>
      <c r="L18" s="4"/>
      <c r="M18" s="4"/>
      <c r="N18" s="4"/>
      <c r="O18" s="4"/>
      <c r="P18" s="4"/>
      <c r="Q18" s="4"/>
    </row>
    <row r="19" spans="1:19" x14ac:dyDescent="0.35">
      <c r="A19" s="12" t="s">
        <v>19</v>
      </c>
      <c r="B19" s="29" t="s">
        <v>112</v>
      </c>
      <c r="C19" s="1">
        <v>460</v>
      </c>
      <c r="D19" s="49"/>
      <c r="E19" s="4"/>
      <c r="F19" s="4"/>
      <c r="G19" s="4"/>
      <c r="H19" s="4"/>
      <c r="I19" s="4"/>
      <c r="J19" s="4"/>
      <c r="K19" s="2"/>
      <c r="L19" s="4"/>
      <c r="M19" s="4"/>
      <c r="N19" s="4"/>
      <c r="O19" s="4"/>
      <c r="P19" s="4"/>
      <c r="Q19" s="4"/>
    </row>
    <row r="20" spans="1:19" x14ac:dyDescent="0.35">
      <c r="A20" s="12" t="s">
        <v>21</v>
      </c>
      <c r="B20" s="29" t="s">
        <v>113</v>
      </c>
      <c r="C20" s="1">
        <v>480</v>
      </c>
      <c r="D20" s="49"/>
      <c r="E20" s="4"/>
      <c r="F20" s="4"/>
      <c r="G20" s="4"/>
      <c r="H20" s="4"/>
      <c r="I20" s="4"/>
      <c r="J20" s="4"/>
      <c r="K20" s="2"/>
      <c r="L20" s="4"/>
      <c r="M20" s="4"/>
      <c r="N20" s="4"/>
      <c r="O20" s="4"/>
      <c r="P20" s="4"/>
      <c r="Q20" s="4"/>
    </row>
    <row r="21" spans="1:19" x14ac:dyDescent="0.35">
      <c r="A21" s="14" t="s">
        <v>7</v>
      </c>
      <c r="B21" s="34" t="s">
        <v>114</v>
      </c>
      <c r="C21" s="39">
        <f>500</f>
        <v>500</v>
      </c>
      <c r="D21" s="50"/>
      <c r="E21" s="5"/>
      <c r="F21" s="5"/>
      <c r="G21" s="5"/>
      <c r="H21" s="5"/>
      <c r="I21" s="5"/>
      <c r="J21" s="5"/>
      <c r="K21" s="3"/>
      <c r="L21" s="4"/>
      <c r="M21" s="4"/>
      <c r="N21" s="4"/>
      <c r="O21" s="4"/>
      <c r="P21" s="4"/>
      <c r="Q21" s="4"/>
    </row>
    <row r="22" spans="1:19" x14ac:dyDescent="0.35">
      <c r="A22" s="350" t="s">
        <v>276</v>
      </c>
      <c r="B22" s="351"/>
      <c r="C22" s="40" t="s">
        <v>418</v>
      </c>
      <c r="D22" s="247" t="s">
        <v>793</v>
      </c>
      <c r="E22" s="24" t="s">
        <v>795</v>
      </c>
      <c r="F22" s="24" t="s">
        <v>821</v>
      </c>
      <c r="G22" s="253" t="s">
        <v>822</v>
      </c>
      <c r="H22" s="253" t="s">
        <v>823</v>
      </c>
      <c r="I22" s="253" t="s">
        <v>824</v>
      </c>
      <c r="J22" s="253" t="s">
        <v>825</v>
      </c>
      <c r="K22" s="257" t="s">
        <v>826</v>
      </c>
      <c r="L22" s="24" t="s">
        <v>829</v>
      </c>
      <c r="M22" s="253" t="s">
        <v>830</v>
      </c>
      <c r="N22" s="253" t="s">
        <v>831</v>
      </c>
      <c r="O22" s="253" t="s">
        <v>832</v>
      </c>
      <c r="P22" s="253" t="s">
        <v>833</v>
      </c>
      <c r="Q22" s="257" t="s">
        <v>834</v>
      </c>
    </row>
    <row r="23" spans="1:19" x14ac:dyDescent="0.35">
      <c r="A23" s="78" t="s">
        <v>662</v>
      </c>
      <c r="B23" s="29" t="s">
        <v>668</v>
      </c>
      <c r="C23" s="30">
        <v>315</v>
      </c>
      <c r="D23" s="248">
        <v>0</v>
      </c>
      <c r="E23" s="254" t="s">
        <v>820</v>
      </c>
      <c r="F23" s="265">
        <v>2.93</v>
      </c>
      <c r="G23" s="261" t="s">
        <v>820</v>
      </c>
      <c r="H23" s="196">
        <v>3.09</v>
      </c>
      <c r="I23" s="196">
        <v>0.91</v>
      </c>
      <c r="J23" s="261" t="s">
        <v>820</v>
      </c>
      <c r="K23" s="2">
        <v>0.9</v>
      </c>
      <c r="L23" s="265">
        <v>0.35</v>
      </c>
      <c r="M23" s="261" t="s">
        <v>820</v>
      </c>
      <c r="N23" s="196">
        <v>0.53</v>
      </c>
      <c r="O23" s="196">
        <v>0.90500000000000003</v>
      </c>
      <c r="P23" s="261" t="s">
        <v>820</v>
      </c>
      <c r="Q23" s="2">
        <v>1</v>
      </c>
    </row>
    <row r="24" spans="1:19" x14ac:dyDescent="0.35">
      <c r="A24" s="78" t="s">
        <v>663</v>
      </c>
      <c r="B24" s="29" t="s">
        <v>670</v>
      </c>
      <c r="C24" s="30">
        <v>340</v>
      </c>
      <c r="D24" s="248">
        <v>0</v>
      </c>
      <c r="E24" s="254" t="s">
        <v>820</v>
      </c>
      <c r="F24" s="266">
        <f>AD70</f>
        <v>2.930315789473684</v>
      </c>
      <c r="G24" s="254" t="s">
        <v>820</v>
      </c>
      <c r="H24" s="274">
        <f>BF70</f>
        <v>3.0947368421052639</v>
      </c>
      <c r="I24" s="270">
        <f>AD72</f>
        <v>0.9096666666666664</v>
      </c>
      <c r="J24" s="254" t="s">
        <v>820</v>
      </c>
      <c r="K24" s="271">
        <f>BF72</f>
        <v>0.90825000000000033</v>
      </c>
      <c r="L24" s="266">
        <f>AD122</f>
        <v>0.35157894736842055</v>
      </c>
      <c r="M24" s="254" t="s">
        <v>820</v>
      </c>
      <c r="N24" s="274">
        <f>BF122</f>
        <v>0.52652631578947351</v>
      </c>
      <c r="O24" s="270">
        <f>AD124</f>
        <v>1.0018333333333336</v>
      </c>
      <c r="P24" s="254" t="s">
        <v>820</v>
      </c>
      <c r="Q24" s="271">
        <f>BF124</f>
        <v>0.99900000000000022</v>
      </c>
    </row>
    <row r="25" spans="1:19" x14ac:dyDescent="0.35">
      <c r="A25" s="78" t="s">
        <v>280</v>
      </c>
      <c r="B25" s="29" t="s">
        <v>669</v>
      </c>
      <c r="C25" s="30">
        <v>365</v>
      </c>
      <c r="D25" s="248">
        <v>25</v>
      </c>
      <c r="E25" s="254" t="s">
        <v>820</v>
      </c>
      <c r="F25" s="265">
        <v>2.95</v>
      </c>
      <c r="G25" s="261" t="s">
        <v>820</v>
      </c>
      <c r="H25" s="196">
        <v>3.11</v>
      </c>
      <c r="I25" s="196">
        <f>(0.92+I24)/2</f>
        <v>0.91483333333333317</v>
      </c>
      <c r="J25" s="261" t="s">
        <v>820</v>
      </c>
      <c r="K25" s="2">
        <f>(0.92+K24)/2</f>
        <v>0.91412500000000019</v>
      </c>
      <c r="L25" s="265">
        <v>0.35</v>
      </c>
      <c r="M25" s="261" t="s">
        <v>820</v>
      </c>
      <c r="N25" s="196">
        <v>0.53</v>
      </c>
      <c r="O25" s="196">
        <f>(1.002+O24)/2</f>
        <v>1.0019166666666668</v>
      </c>
      <c r="P25" s="261" t="s">
        <v>820</v>
      </c>
      <c r="Q25" s="2">
        <v>1</v>
      </c>
    </row>
    <row r="26" spans="1:19" x14ac:dyDescent="0.35">
      <c r="A26" s="78" t="s">
        <v>664</v>
      </c>
      <c r="B26" s="29" t="s">
        <v>671</v>
      </c>
      <c r="C26" s="30">
        <v>390</v>
      </c>
      <c r="D26" s="248">
        <v>50</v>
      </c>
      <c r="E26" s="4">
        <v>0</v>
      </c>
      <c r="F26" s="265">
        <v>2.96</v>
      </c>
      <c r="G26" s="262">
        <f>CH70</f>
        <v>2.9312631578947372</v>
      </c>
      <c r="H26" s="44">
        <v>3.13</v>
      </c>
      <c r="I26" s="44">
        <f>(0.94+I24)/2</f>
        <v>0.92483333333333317</v>
      </c>
      <c r="J26" s="259">
        <f>CH72</f>
        <v>0.90566666666666673</v>
      </c>
      <c r="K26" s="2">
        <f>(K24+0.93)/2</f>
        <v>0.91912500000000019</v>
      </c>
      <c r="L26" s="265">
        <v>0.35</v>
      </c>
      <c r="M26" s="262">
        <f>CH122</f>
        <v>0.35168421052631543</v>
      </c>
      <c r="N26" s="44">
        <v>0.53</v>
      </c>
      <c r="O26" s="285">
        <f>(1.003+O24)/2</f>
        <v>1.0024166666666667</v>
      </c>
      <c r="P26" s="286">
        <f>CH124</f>
        <v>1.0003333333333335</v>
      </c>
      <c r="Q26" s="2">
        <v>1</v>
      </c>
    </row>
    <row r="27" spans="1:19" x14ac:dyDescent="0.35">
      <c r="A27" s="78" t="s">
        <v>665</v>
      </c>
      <c r="B27" s="29" t="s">
        <v>672</v>
      </c>
      <c r="C27" s="30">
        <v>415</v>
      </c>
      <c r="D27" s="248">
        <v>75</v>
      </c>
      <c r="E27" s="8">
        <v>25</v>
      </c>
      <c r="F27" s="265">
        <v>2.98</v>
      </c>
      <c r="G27" s="55">
        <v>2.94</v>
      </c>
      <c r="H27" s="8">
        <v>3.16</v>
      </c>
      <c r="I27" s="8">
        <f>(0.96+I24)/2</f>
        <v>0.93483333333333318</v>
      </c>
      <c r="J27" s="8">
        <f>(0.92+J26)/2</f>
        <v>0.91283333333333339</v>
      </c>
      <c r="K27" s="2">
        <f>(K24+0.94)/2</f>
        <v>0.92412500000000009</v>
      </c>
      <c r="L27" s="265">
        <v>0.35</v>
      </c>
      <c r="M27" s="55">
        <v>0.35</v>
      </c>
      <c r="N27" s="8">
        <v>0.53</v>
      </c>
      <c r="O27" s="8">
        <f>(1.004+O24)/2</f>
        <v>1.0029166666666667</v>
      </c>
      <c r="P27" s="8">
        <v>1</v>
      </c>
      <c r="Q27" s="2">
        <v>1.01</v>
      </c>
    </row>
    <row r="28" spans="1:19" x14ac:dyDescent="0.35">
      <c r="A28" s="78" t="s">
        <v>666</v>
      </c>
      <c r="B28" s="29" t="s">
        <v>673</v>
      </c>
      <c r="C28" s="30">
        <v>440</v>
      </c>
      <c r="D28" s="248">
        <v>100</v>
      </c>
      <c r="E28" s="8">
        <v>50</v>
      </c>
      <c r="F28" s="266">
        <f>AR70</f>
        <v>3.0037894736842103</v>
      </c>
      <c r="G28" s="263">
        <v>2.96</v>
      </c>
      <c r="H28" s="258">
        <f>BT70</f>
        <v>3.1992631578947366</v>
      </c>
      <c r="I28" s="269">
        <f>(AR72+I24)/2</f>
        <v>0.94724999999999993</v>
      </c>
      <c r="J28" s="258">
        <f>(CV72+J26)/2</f>
        <v>0.92391666666666672</v>
      </c>
      <c r="K28" s="271">
        <f>(BT72+K24)/2</f>
        <v>0.94833333333333347</v>
      </c>
      <c r="L28" s="266">
        <f>AR122</f>
        <v>0.35442105263157897</v>
      </c>
      <c r="M28" s="263">
        <v>0.35</v>
      </c>
      <c r="N28" s="258">
        <f>BT122</f>
        <v>0.53294736842105261</v>
      </c>
      <c r="O28" s="269">
        <f>(AR124+O24)/2</f>
        <v>1.0053750000000001</v>
      </c>
      <c r="P28" s="288">
        <v>1</v>
      </c>
      <c r="Q28" s="271">
        <f>BT124</f>
        <v>1.0113333333333334</v>
      </c>
    </row>
    <row r="29" spans="1:19" x14ac:dyDescent="0.35">
      <c r="A29" s="78" t="s">
        <v>494</v>
      </c>
      <c r="B29" s="29" t="s">
        <v>674</v>
      </c>
      <c r="C29" s="30">
        <v>465</v>
      </c>
      <c r="D29" s="255" t="s">
        <v>820</v>
      </c>
      <c r="E29" s="8">
        <v>75</v>
      </c>
      <c r="F29" s="254" t="s">
        <v>820</v>
      </c>
      <c r="G29" s="55">
        <v>2.98</v>
      </c>
      <c r="H29" s="261" t="s">
        <v>820</v>
      </c>
      <c r="I29" s="261" t="s">
        <v>820</v>
      </c>
      <c r="J29" s="8">
        <f>(J26+0.96)/2</f>
        <v>0.9328333333333334</v>
      </c>
      <c r="K29" s="272" t="s">
        <v>820</v>
      </c>
      <c r="L29" s="254" t="s">
        <v>820</v>
      </c>
      <c r="M29" s="55">
        <v>0.35</v>
      </c>
      <c r="N29" s="261" t="s">
        <v>820</v>
      </c>
      <c r="O29" s="261" t="s">
        <v>820</v>
      </c>
      <c r="P29" s="8">
        <v>1</v>
      </c>
      <c r="Q29" s="272" t="s">
        <v>820</v>
      </c>
    </row>
    <row r="30" spans="1:19" x14ac:dyDescent="0.35">
      <c r="A30" s="80" t="s">
        <v>667</v>
      </c>
      <c r="B30" s="34" t="s">
        <v>675</v>
      </c>
      <c r="C30" s="39">
        <v>490</v>
      </c>
      <c r="D30" s="256" t="s">
        <v>820</v>
      </c>
      <c r="E30" s="5">
        <v>100</v>
      </c>
      <c r="F30" s="267" t="s">
        <v>820</v>
      </c>
      <c r="G30" s="264">
        <f>DJ70</f>
        <v>2.9966315789473681</v>
      </c>
      <c r="H30" s="268" t="s">
        <v>820</v>
      </c>
      <c r="I30" s="268" t="s">
        <v>820</v>
      </c>
      <c r="J30" s="260">
        <f>(J26+DJ72)/2</f>
        <v>0.94316666666666671</v>
      </c>
      <c r="K30" s="273" t="s">
        <v>820</v>
      </c>
      <c r="L30" s="267" t="s">
        <v>820</v>
      </c>
      <c r="M30" s="264">
        <f>DJ122</f>
        <v>0.35452631578947374</v>
      </c>
      <c r="N30" s="268" t="s">
        <v>820</v>
      </c>
      <c r="O30" s="268" t="s">
        <v>820</v>
      </c>
      <c r="P30" s="287">
        <f>(P26+DJ124)/2</f>
        <v>1.0042916666666666</v>
      </c>
      <c r="Q30" s="273" t="s">
        <v>820</v>
      </c>
    </row>
    <row r="31" spans="1:19" x14ac:dyDescent="0.35">
      <c r="A31" s="350" t="s">
        <v>676</v>
      </c>
      <c r="B31" s="351"/>
      <c r="C31" s="40" t="s">
        <v>794</v>
      </c>
      <c r="D31" s="210"/>
      <c r="E31" s="24"/>
      <c r="F31" s="24"/>
      <c r="G31" s="24"/>
      <c r="H31" s="24"/>
      <c r="I31" s="24"/>
      <c r="J31" s="24"/>
      <c r="K31" s="7"/>
      <c r="L31" s="4"/>
      <c r="M31" s="4"/>
      <c r="N31" s="4"/>
      <c r="O31" s="4"/>
      <c r="P31" s="4"/>
      <c r="Q31" s="4"/>
    </row>
    <row r="32" spans="1:19" x14ac:dyDescent="0.35">
      <c r="A32" s="127" t="s">
        <v>1064</v>
      </c>
      <c r="B32" s="29" t="s">
        <v>677</v>
      </c>
      <c r="C32" s="30">
        <v>12</v>
      </c>
      <c r="D32" s="49"/>
      <c r="E32" s="4"/>
      <c r="F32" s="4"/>
      <c r="G32" s="4"/>
      <c r="H32" s="4"/>
      <c r="I32" s="4"/>
      <c r="J32" s="4"/>
      <c r="K32" s="2"/>
      <c r="L32" s="4"/>
      <c r="M32" s="4"/>
      <c r="N32" s="4"/>
      <c r="O32" s="4"/>
      <c r="P32" s="4"/>
      <c r="Q32" s="4"/>
    </row>
    <row r="33" spans="1:113" x14ac:dyDescent="0.35">
      <c r="A33" s="127" t="s">
        <v>1065</v>
      </c>
      <c r="B33" s="29" t="s">
        <v>679</v>
      </c>
      <c r="C33" s="30">
        <v>27</v>
      </c>
      <c r="D33" s="49"/>
      <c r="E33" s="4"/>
      <c r="F33" s="4"/>
      <c r="G33" s="4"/>
      <c r="H33" s="4"/>
      <c r="I33" s="4"/>
      <c r="J33" s="4"/>
      <c r="K33" s="2"/>
      <c r="L33" s="4"/>
      <c r="M33" s="4"/>
      <c r="N33" s="4"/>
      <c r="O33" s="4"/>
      <c r="P33" s="4"/>
      <c r="Q33" s="4"/>
    </row>
    <row r="34" spans="1:113" x14ac:dyDescent="0.35">
      <c r="A34" s="127" t="s">
        <v>1066</v>
      </c>
      <c r="B34" s="29" t="s">
        <v>680</v>
      </c>
      <c r="C34" s="30">
        <v>42</v>
      </c>
      <c r="D34" s="49"/>
      <c r="E34" s="4"/>
      <c r="F34" s="4"/>
      <c r="G34" s="4"/>
      <c r="H34" s="4"/>
      <c r="I34" s="4"/>
      <c r="J34" s="4"/>
      <c r="K34" s="2"/>
      <c r="L34" s="4"/>
      <c r="M34" s="4"/>
      <c r="N34" s="4"/>
      <c r="O34" s="4"/>
      <c r="P34" s="4"/>
      <c r="Q34" s="4"/>
    </row>
    <row r="35" spans="1:113" x14ac:dyDescent="0.35">
      <c r="A35" s="127" t="s">
        <v>1067</v>
      </c>
      <c r="B35" s="29" t="s">
        <v>681</v>
      </c>
      <c r="C35" s="30">
        <v>57</v>
      </c>
      <c r="D35" s="49"/>
      <c r="E35" s="4"/>
      <c r="F35" s="4"/>
      <c r="G35" s="4"/>
      <c r="H35" s="4"/>
      <c r="I35" s="4"/>
      <c r="J35" s="4"/>
      <c r="K35" s="2"/>
      <c r="L35" s="4"/>
      <c r="M35" s="4"/>
      <c r="N35" s="4"/>
      <c r="O35" s="4"/>
      <c r="P35" s="4"/>
      <c r="Q35" s="4"/>
    </row>
    <row r="36" spans="1:113" x14ac:dyDescent="0.35">
      <c r="A36" s="211" t="s">
        <v>1068</v>
      </c>
      <c r="B36" s="34" t="s">
        <v>682</v>
      </c>
      <c r="C36" s="39">
        <v>72</v>
      </c>
      <c r="D36" s="50"/>
      <c r="E36" s="5"/>
      <c r="F36" s="5"/>
      <c r="G36" s="5"/>
      <c r="H36" s="5"/>
      <c r="I36" s="5"/>
      <c r="J36" s="5"/>
      <c r="K36" s="3"/>
      <c r="L36" s="4"/>
      <c r="M36" s="4"/>
      <c r="N36" s="4"/>
      <c r="O36" s="4"/>
      <c r="P36" s="4"/>
      <c r="Q36" s="4"/>
    </row>
    <row r="37" spans="1:113" x14ac:dyDescent="0.35">
      <c r="A37" s="350" t="s">
        <v>477</v>
      </c>
      <c r="B37" s="351"/>
      <c r="C37" s="40" t="s">
        <v>474</v>
      </c>
      <c r="D37" s="210"/>
      <c r="E37" s="24"/>
      <c r="F37" s="24"/>
      <c r="G37" s="24"/>
      <c r="H37" s="24"/>
      <c r="I37" s="24"/>
      <c r="J37" s="24"/>
      <c r="K37" s="7"/>
      <c r="L37" s="4"/>
      <c r="M37" s="4"/>
      <c r="N37" s="4"/>
      <c r="O37" s="4"/>
      <c r="P37" s="4"/>
      <c r="Q37" s="4"/>
    </row>
    <row r="38" spans="1:113" x14ac:dyDescent="0.35">
      <c r="A38" s="127" t="s">
        <v>683</v>
      </c>
      <c r="B38" s="29" t="s">
        <v>685</v>
      </c>
      <c r="C38" s="30">
        <v>270</v>
      </c>
      <c r="D38" s="49"/>
      <c r="E38" s="4"/>
      <c r="F38" s="4"/>
      <c r="G38" s="4"/>
      <c r="H38" s="4"/>
      <c r="I38" s="4"/>
      <c r="J38" s="4"/>
      <c r="K38" s="2"/>
      <c r="L38" s="4"/>
      <c r="M38" s="4"/>
      <c r="N38" s="4"/>
      <c r="O38" s="4"/>
      <c r="P38" s="4"/>
      <c r="Q38" s="4"/>
    </row>
    <row r="39" spans="1:113" x14ac:dyDescent="0.35">
      <c r="A39" s="127" t="s">
        <v>684</v>
      </c>
      <c r="B39" s="29" t="s">
        <v>686</v>
      </c>
      <c r="C39" s="30">
        <v>285</v>
      </c>
      <c r="D39" s="49"/>
      <c r="E39" s="4"/>
      <c r="F39" s="4"/>
      <c r="G39" s="4"/>
      <c r="H39" s="4"/>
      <c r="I39" s="4"/>
      <c r="J39" s="4"/>
      <c r="K39" s="2"/>
      <c r="L39" s="4"/>
      <c r="M39" s="4"/>
      <c r="N39" s="4"/>
      <c r="O39" s="4"/>
      <c r="P39" s="4"/>
      <c r="Q39" s="4"/>
    </row>
    <row r="40" spans="1:113" x14ac:dyDescent="0.35">
      <c r="A40" s="127" t="s">
        <v>294</v>
      </c>
      <c r="B40" s="29" t="s">
        <v>687</v>
      </c>
      <c r="C40" s="30">
        <v>300</v>
      </c>
      <c r="D40" s="49"/>
      <c r="E40" s="4"/>
      <c r="F40" s="4"/>
      <c r="G40" s="4"/>
      <c r="H40" s="4"/>
      <c r="I40" s="4"/>
      <c r="J40" s="4"/>
      <c r="K40" s="2"/>
      <c r="L40" s="4"/>
      <c r="M40" s="4"/>
      <c r="N40" s="4"/>
      <c r="O40" s="4"/>
      <c r="P40" s="4"/>
      <c r="Q40" s="4"/>
    </row>
    <row r="41" spans="1:113" x14ac:dyDescent="0.35">
      <c r="A41" s="127" t="s">
        <v>295</v>
      </c>
      <c r="B41" s="29" t="s">
        <v>688</v>
      </c>
      <c r="C41" s="30">
        <v>315</v>
      </c>
      <c r="D41" s="49"/>
      <c r="E41" s="4"/>
      <c r="F41" s="4"/>
      <c r="G41" s="4"/>
      <c r="H41" s="4"/>
      <c r="I41" s="4"/>
      <c r="J41" s="4"/>
      <c r="K41" s="2"/>
      <c r="L41" s="4"/>
      <c r="M41" s="4"/>
      <c r="N41" s="4"/>
      <c r="O41" s="4"/>
      <c r="P41" s="4"/>
      <c r="Q41" s="4"/>
    </row>
    <row r="42" spans="1:113" x14ac:dyDescent="0.35">
      <c r="A42" s="127" t="s">
        <v>296</v>
      </c>
      <c r="B42" s="29" t="s">
        <v>689</v>
      </c>
      <c r="C42" s="30">
        <v>330</v>
      </c>
      <c r="D42" s="49"/>
      <c r="E42" s="4"/>
      <c r="F42" s="4"/>
      <c r="G42" s="4"/>
      <c r="H42" s="4"/>
      <c r="I42" s="4"/>
      <c r="J42" s="4"/>
      <c r="K42" s="2"/>
      <c r="L42" s="4"/>
      <c r="M42" s="4"/>
      <c r="N42" s="4"/>
      <c r="O42" s="4"/>
      <c r="P42" s="4"/>
      <c r="Q42" s="4"/>
    </row>
    <row r="43" spans="1:113" x14ac:dyDescent="0.35">
      <c r="A43" s="127" t="s">
        <v>297</v>
      </c>
      <c r="B43" s="29" t="s">
        <v>690</v>
      </c>
      <c r="C43" s="30">
        <v>345</v>
      </c>
      <c r="D43" s="49"/>
      <c r="E43" s="4"/>
      <c r="F43" s="4"/>
      <c r="G43" s="4"/>
      <c r="H43" s="4"/>
      <c r="I43" s="4"/>
      <c r="J43" s="4"/>
      <c r="K43" s="2"/>
      <c r="L43" s="4"/>
      <c r="M43" s="4"/>
      <c r="N43" s="4"/>
      <c r="O43" s="4"/>
      <c r="P43" s="4"/>
      <c r="Q43" s="4"/>
    </row>
    <row r="44" spans="1:113" x14ac:dyDescent="0.35">
      <c r="A44" s="127" t="s">
        <v>298</v>
      </c>
      <c r="B44" s="29" t="s">
        <v>691</v>
      </c>
      <c r="C44" s="30">
        <v>360</v>
      </c>
      <c r="D44" s="49"/>
      <c r="E44" s="4"/>
      <c r="F44" s="4"/>
      <c r="G44" s="4"/>
      <c r="H44" s="4"/>
      <c r="I44" s="4"/>
      <c r="J44" s="4"/>
      <c r="K44" s="2"/>
      <c r="L44" s="4"/>
      <c r="M44" s="4"/>
      <c r="N44" s="4"/>
      <c r="O44" s="4"/>
      <c r="P44" s="4"/>
      <c r="Q44" s="4"/>
    </row>
    <row r="45" spans="1:113" x14ac:dyDescent="0.35">
      <c r="A45" s="127" t="s">
        <v>299</v>
      </c>
      <c r="B45" s="29" t="s">
        <v>692</v>
      </c>
      <c r="C45" s="30">
        <v>375</v>
      </c>
      <c r="D45" s="49"/>
      <c r="E45" s="4"/>
      <c r="F45" s="4"/>
      <c r="G45" s="4"/>
      <c r="H45" s="4"/>
      <c r="I45" s="4"/>
      <c r="J45" s="4"/>
      <c r="K45" s="2"/>
      <c r="L45" s="4"/>
      <c r="M45" s="4"/>
      <c r="N45" s="4"/>
      <c r="O45" s="4"/>
      <c r="P45" s="4"/>
      <c r="Q45" s="4"/>
      <c r="CL45">
        <f>CL50-BX50</f>
        <v>-45.009999999999991</v>
      </c>
      <c r="CM45">
        <f>CM50-AW50</f>
        <v>0</v>
      </c>
      <c r="CN45">
        <f>CN50-BZ50</f>
        <v>-45.700000000000017</v>
      </c>
      <c r="CO45">
        <f>CO50-AY50</f>
        <v>0</v>
      </c>
      <c r="CP45">
        <f>CP50-CB50</f>
        <v>-46.390000000000015</v>
      </c>
      <c r="CQ45">
        <f>CQ50-BA50</f>
        <v>0</v>
      </c>
      <c r="CR45">
        <f>CR50-CD50</f>
        <v>-47.079999999999984</v>
      </c>
      <c r="CS45">
        <f>CS50-BC50</f>
        <v>0</v>
      </c>
      <c r="CT45">
        <f>CT50-CF50</f>
        <v>-47.769999999999982</v>
      </c>
      <c r="CU45">
        <f>CU50-BE50</f>
        <v>0</v>
      </c>
      <c r="CZ45">
        <f t="shared" ref="CZ45:DI45" si="0">CZ50-BX50</f>
        <v>-92.259999999999991</v>
      </c>
      <c r="DA45">
        <f t="shared" si="0"/>
        <v>0</v>
      </c>
      <c r="DB45">
        <f t="shared" si="0"/>
        <v>-93.660000000000025</v>
      </c>
      <c r="DC45">
        <f t="shared" si="0"/>
        <v>0</v>
      </c>
      <c r="DD45">
        <f t="shared" si="0"/>
        <v>-95.06</v>
      </c>
      <c r="DE45">
        <f t="shared" si="0"/>
        <v>0</v>
      </c>
      <c r="DF45">
        <f t="shared" si="0"/>
        <v>-96.49</v>
      </c>
      <c r="DG45">
        <f t="shared" si="0"/>
        <v>0</v>
      </c>
      <c r="DH45">
        <f t="shared" si="0"/>
        <v>-97.949999999999989</v>
      </c>
      <c r="DI45">
        <f t="shared" si="0"/>
        <v>0</v>
      </c>
    </row>
    <row r="46" spans="1:113" x14ac:dyDescent="0.35">
      <c r="A46" s="127" t="s">
        <v>300</v>
      </c>
      <c r="B46" s="29" t="s">
        <v>693</v>
      </c>
      <c r="C46" s="30">
        <v>390</v>
      </c>
      <c r="D46" s="49"/>
      <c r="E46" s="4"/>
      <c r="F46" s="4"/>
      <c r="G46" s="4"/>
      <c r="H46" s="4"/>
      <c r="I46" s="4"/>
      <c r="J46" s="4"/>
      <c r="K46" s="2"/>
      <c r="L46" s="4"/>
      <c r="M46" s="4"/>
      <c r="N46" s="4"/>
      <c r="O46" s="4"/>
      <c r="P46" s="4"/>
      <c r="Q46" s="4"/>
    </row>
    <row r="47" spans="1:113" x14ac:dyDescent="0.35">
      <c r="A47" s="127" t="s">
        <v>301</v>
      </c>
      <c r="B47" s="29" t="s">
        <v>694</v>
      </c>
      <c r="C47" s="30">
        <v>405</v>
      </c>
      <c r="D47" s="49"/>
      <c r="E47" s="4"/>
      <c r="F47" s="4"/>
      <c r="G47" s="4"/>
      <c r="H47" s="4"/>
      <c r="I47" s="4"/>
      <c r="J47" s="4"/>
      <c r="K47" s="2"/>
      <c r="L47" s="4"/>
      <c r="M47" s="4"/>
      <c r="N47" s="4"/>
      <c r="O47" s="4"/>
      <c r="P47" s="4"/>
      <c r="Q47" s="4"/>
      <c r="S47" s="436" t="s">
        <v>780</v>
      </c>
      <c r="T47" s="437"/>
      <c r="U47" s="437"/>
      <c r="V47" s="437"/>
      <c r="W47" s="437"/>
      <c r="X47" s="437"/>
      <c r="Y47" s="437"/>
      <c r="Z47" s="437"/>
      <c r="AA47" s="437"/>
      <c r="AB47" s="437"/>
      <c r="AC47" s="438"/>
      <c r="AG47" s="436" t="s">
        <v>780</v>
      </c>
      <c r="AH47" s="437"/>
      <c r="AI47" s="437"/>
      <c r="AJ47" s="437"/>
      <c r="AK47" s="437"/>
      <c r="AL47" s="437"/>
      <c r="AM47" s="437"/>
      <c r="AN47" s="437"/>
      <c r="AO47" s="437"/>
      <c r="AP47" s="437"/>
      <c r="AQ47" s="438"/>
      <c r="AU47" s="424" t="s">
        <v>785</v>
      </c>
      <c r="AV47" s="425"/>
      <c r="AW47" s="425"/>
      <c r="AX47" s="425"/>
      <c r="AY47" s="425"/>
      <c r="AZ47" s="425"/>
      <c r="BA47" s="425"/>
      <c r="BB47" s="425"/>
      <c r="BC47" s="425"/>
      <c r="BD47" s="425"/>
      <c r="BE47" s="426"/>
      <c r="BI47" s="424" t="s">
        <v>785</v>
      </c>
      <c r="BJ47" s="425"/>
      <c r="BK47" s="425"/>
      <c r="BL47" s="425"/>
      <c r="BM47" s="425"/>
      <c r="BN47" s="425"/>
      <c r="BO47" s="425"/>
      <c r="BP47" s="425"/>
      <c r="BQ47" s="425"/>
      <c r="BR47" s="425"/>
      <c r="BS47" s="426"/>
      <c r="BW47" s="418" t="s">
        <v>800</v>
      </c>
      <c r="BX47" s="419"/>
      <c r="BY47" s="419"/>
      <c r="BZ47" s="419"/>
      <c r="CA47" s="419"/>
      <c r="CB47" s="419"/>
      <c r="CC47" s="419"/>
      <c r="CD47" s="419"/>
      <c r="CE47" s="419"/>
      <c r="CF47" s="419"/>
      <c r="CG47" s="420"/>
      <c r="CK47" s="418" t="s">
        <v>800</v>
      </c>
      <c r="CL47" s="419"/>
      <c r="CM47" s="419"/>
      <c r="CN47" s="419"/>
      <c r="CO47" s="419"/>
      <c r="CP47" s="419"/>
      <c r="CQ47" s="419"/>
      <c r="CR47" s="419"/>
      <c r="CS47" s="419"/>
      <c r="CT47" s="419"/>
      <c r="CU47" s="420"/>
      <c r="CY47" s="418" t="s">
        <v>800</v>
      </c>
      <c r="CZ47" s="419"/>
      <c r="DA47" s="419"/>
      <c r="DB47" s="419"/>
      <c r="DC47" s="419"/>
      <c r="DD47" s="419"/>
      <c r="DE47" s="419"/>
      <c r="DF47" s="419"/>
      <c r="DG47" s="419"/>
      <c r="DH47" s="419"/>
      <c r="DI47" s="420"/>
    </row>
    <row r="48" spans="1:113" x14ac:dyDescent="0.35">
      <c r="A48" s="127" t="s">
        <v>302</v>
      </c>
      <c r="B48" s="29" t="s">
        <v>695</v>
      </c>
      <c r="C48" s="30">
        <v>420</v>
      </c>
      <c r="D48" s="49"/>
      <c r="E48" s="4"/>
      <c r="F48" s="4"/>
      <c r="G48" s="4"/>
      <c r="H48" s="4"/>
      <c r="I48" s="4"/>
      <c r="J48" s="4"/>
      <c r="K48" s="2"/>
      <c r="L48" s="4"/>
      <c r="M48" s="4"/>
      <c r="N48" s="4"/>
      <c r="O48" s="4"/>
      <c r="P48" s="4"/>
      <c r="Q48" s="4"/>
      <c r="S48" s="439" t="s">
        <v>815</v>
      </c>
      <c r="T48" s="440"/>
      <c r="U48" s="440"/>
      <c r="V48" s="440"/>
      <c r="W48" s="440"/>
      <c r="X48" s="440"/>
      <c r="Y48" s="440"/>
      <c r="Z48" s="440"/>
      <c r="AA48" s="440"/>
      <c r="AB48" s="440"/>
      <c r="AC48" s="441"/>
      <c r="AG48" s="439" t="s">
        <v>816</v>
      </c>
      <c r="AH48" s="440"/>
      <c r="AI48" s="440"/>
      <c r="AJ48" s="440"/>
      <c r="AK48" s="440"/>
      <c r="AL48" s="440"/>
      <c r="AM48" s="440"/>
      <c r="AN48" s="440"/>
      <c r="AO48" s="440"/>
      <c r="AP48" s="440"/>
      <c r="AQ48" s="441"/>
      <c r="AU48" s="427" t="s">
        <v>815</v>
      </c>
      <c r="AV48" s="428"/>
      <c r="AW48" s="428"/>
      <c r="AX48" s="428"/>
      <c r="AY48" s="428"/>
      <c r="AZ48" s="428"/>
      <c r="BA48" s="428"/>
      <c r="BB48" s="428"/>
      <c r="BC48" s="428"/>
      <c r="BD48" s="428"/>
      <c r="BE48" s="429"/>
      <c r="BI48" s="427" t="s">
        <v>827</v>
      </c>
      <c r="BJ48" s="428"/>
      <c r="BK48" s="428"/>
      <c r="BL48" s="428"/>
      <c r="BM48" s="428"/>
      <c r="BN48" s="428"/>
      <c r="BO48" s="428"/>
      <c r="BP48" s="428"/>
      <c r="BQ48" s="428"/>
      <c r="BR48" s="428"/>
      <c r="BS48" s="429"/>
      <c r="BW48" s="421" t="s">
        <v>801</v>
      </c>
      <c r="BX48" s="422"/>
      <c r="BY48" s="422"/>
      <c r="BZ48" s="422"/>
      <c r="CA48" s="422"/>
      <c r="CB48" s="422"/>
      <c r="CC48" s="422"/>
      <c r="CD48" s="422"/>
      <c r="CE48" s="422"/>
      <c r="CF48" s="422"/>
      <c r="CG48" s="423"/>
      <c r="CK48" s="421" t="s">
        <v>806</v>
      </c>
      <c r="CL48" s="422"/>
      <c r="CM48" s="422"/>
      <c r="CN48" s="422"/>
      <c r="CO48" s="422"/>
      <c r="CP48" s="422"/>
      <c r="CQ48" s="422"/>
      <c r="CR48" s="422"/>
      <c r="CS48" s="422"/>
      <c r="CT48" s="422"/>
      <c r="CU48" s="423"/>
      <c r="CY48" s="421" t="s">
        <v>802</v>
      </c>
      <c r="CZ48" s="422"/>
      <c r="DA48" s="422"/>
      <c r="DB48" s="422"/>
      <c r="DC48" s="422"/>
      <c r="DD48" s="422"/>
      <c r="DE48" s="422"/>
      <c r="DF48" s="422"/>
      <c r="DG48" s="422"/>
      <c r="DH48" s="422"/>
      <c r="DI48" s="423"/>
    </row>
    <row r="49" spans="1:113" x14ac:dyDescent="0.35">
      <c r="A49" s="127" t="s">
        <v>303</v>
      </c>
      <c r="B49" s="29" t="s">
        <v>696</v>
      </c>
      <c r="C49" s="30">
        <v>435</v>
      </c>
      <c r="D49" s="49"/>
      <c r="E49" s="4"/>
      <c r="F49" s="4"/>
      <c r="G49" s="4"/>
      <c r="H49" s="4"/>
      <c r="I49" s="4"/>
      <c r="J49" s="4"/>
      <c r="K49" s="2"/>
      <c r="L49" s="4"/>
      <c r="M49" s="4"/>
      <c r="N49" s="4"/>
      <c r="O49" s="4"/>
      <c r="P49" s="4"/>
      <c r="Q49" s="4"/>
      <c r="S49" s="295" t="s">
        <v>440</v>
      </c>
      <c r="T49" s="4" t="s">
        <v>817</v>
      </c>
      <c r="U49" s="229">
        <f>T50-V50</f>
        <v>13.280000000000001</v>
      </c>
      <c r="V49" s="4">
        <v>2</v>
      </c>
      <c r="W49" s="229">
        <f>V50-X50</f>
        <v>13.5</v>
      </c>
      <c r="X49" s="4">
        <v>3</v>
      </c>
      <c r="Y49" s="229">
        <f>X50-Z50</f>
        <v>13.70999999999998</v>
      </c>
      <c r="Z49" s="4">
        <v>4</v>
      </c>
      <c r="AA49" s="229">
        <f>Z50-AB50</f>
        <v>13.920000000000016</v>
      </c>
      <c r="AB49" s="4" t="s">
        <v>818</v>
      </c>
      <c r="AC49" s="2"/>
      <c r="AG49" s="295" t="s">
        <v>440</v>
      </c>
      <c r="AH49" s="4">
        <v>1</v>
      </c>
      <c r="AI49" s="229">
        <f>AH50-AJ50</f>
        <v>14.680000000000007</v>
      </c>
      <c r="AJ49" s="4">
        <v>2</v>
      </c>
      <c r="AK49" s="229">
        <f>AJ50-AL50</f>
        <v>14.910000000000011</v>
      </c>
      <c r="AL49" s="4">
        <v>3</v>
      </c>
      <c r="AM49" s="229">
        <f>AL50-AN50</f>
        <v>15.14</v>
      </c>
      <c r="AN49" s="4">
        <v>4</v>
      </c>
      <c r="AO49" s="229">
        <f>AN50-AP50</f>
        <v>15.399999999999991</v>
      </c>
      <c r="AP49" s="4">
        <v>5</v>
      </c>
      <c r="AQ49" s="2"/>
      <c r="AU49" s="295" t="s">
        <v>440</v>
      </c>
      <c r="AV49" s="4">
        <v>1</v>
      </c>
      <c r="AW49" s="229">
        <f>AV50-AX50</f>
        <v>13.29000000000002</v>
      </c>
      <c r="AX49" s="4">
        <v>2</v>
      </c>
      <c r="AY49" s="229">
        <f>AX50-AZ50</f>
        <v>13.5</v>
      </c>
      <c r="AZ49" s="4">
        <v>3</v>
      </c>
      <c r="BA49" s="229">
        <f>AZ50-BB50</f>
        <v>13.72999999999999</v>
      </c>
      <c r="BB49" s="4">
        <v>4</v>
      </c>
      <c r="BC49" s="229">
        <f>BB50-BD50</f>
        <v>13.939999999999998</v>
      </c>
      <c r="BD49" s="4">
        <v>5</v>
      </c>
      <c r="BE49" s="2"/>
      <c r="BI49" s="295" t="s">
        <v>440</v>
      </c>
      <c r="BJ49" s="4">
        <v>1</v>
      </c>
      <c r="BK49" s="229">
        <f>BJ50-BL50</f>
        <v>14.769999999999996</v>
      </c>
      <c r="BL49" s="4">
        <v>2</v>
      </c>
      <c r="BM49" s="229">
        <f>BL50-BN50</f>
        <v>15</v>
      </c>
      <c r="BN49" s="4">
        <v>3</v>
      </c>
      <c r="BO49" s="229">
        <f>BN50-BP50</f>
        <v>15.269999999999996</v>
      </c>
      <c r="BP49" s="4">
        <v>4</v>
      </c>
      <c r="BQ49" s="229">
        <f>BP50-BR50</f>
        <v>15.540000000000006</v>
      </c>
      <c r="BR49" s="4">
        <v>5</v>
      </c>
      <c r="BS49" s="2"/>
      <c r="BW49" s="295" t="s">
        <v>440</v>
      </c>
      <c r="BX49" s="4" t="s">
        <v>803</v>
      </c>
      <c r="BY49" s="229">
        <f>BX50-BZ50</f>
        <v>13.20999999999998</v>
      </c>
      <c r="BZ49" s="4">
        <v>2</v>
      </c>
      <c r="CA49" s="229">
        <f>BZ50-CB50</f>
        <v>13.430000000000007</v>
      </c>
      <c r="CB49" s="4">
        <v>3</v>
      </c>
      <c r="CC49" s="229">
        <f>CB50-CD50</f>
        <v>13.640000000000015</v>
      </c>
      <c r="CD49" s="4">
        <v>4</v>
      </c>
      <c r="CE49" s="229">
        <f>CD50-CF50</f>
        <v>13.849999999999994</v>
      </c>
      <c r="CF49" s="4">
        <v>5</v>
      </c>
      <c r="CG49" s="2"/>
      <c r="CK49" s="297" t="s">
        <v>440</v>
      </c>
      <c r="CL49" s="24" t="s">
        <v>807</v>
      </c>
      <c r="CM49" s="284">
        <f>CL50-CN50</f>
        <v>13.900000000000006</v>
      </c>
      <c r="CN49" s="24">
        <v>2</v>
      </c>
      <c r="CO49" s="284">
        <f>CN50-CP50</f>
        <v>14.120000000000005</v>
      </c>
      <c r="CP49" s="24">
        <v>3</v>
      </c>
      <c r="CQ49" s="284">
        <f>CP50-CR50</f>
        <v>14.329999999999984</v>
      </c>
      <c r="CR49" s="24">
        <v>4</v>
      </c>
      <c r="CS49" s="284">
        <f>CR50-CT50</f>
        <v>14.539999999999992</v>
      </c>
      <c r="CT49" s="24" t="s">
        <v>808</v>
      </c>
      <c r="CU49" s="7"/>
      <c r="CY49" s="295" t="s">
        <v>440</v>
      </c>
      <c r="CZ49" s="4" t="s">
        <v>804</v>
      </c>
      <c r="DA49" s="229">
        <f>CZ50-DB50</f>
        <v>14.610000000000014</v>
      </c>
      <c r="DB49" s="4">
        <v>2</v>
      </c>
      <c r="DC49" s="229">
        <f>DB50-DD50</f>
        <v>14.829999999999984</v>
      </c>
      <c r="DD49" s="4">
        <v>3</v>
      </c>
      <c r="DE49" s="229">
        <f>DD50-DF50</f>
        <v>15.070000000000007</v>
      </c>
      <c r="DF49" s="4">
        <v>4</v>
      </c>
      <c r="DG49" s="229">
        <f>DF50-DH50</f>
        <v>15.309999999999988</v>
      </c>
      <c r="DH49" s="4" t="s">
        <v>805</v>
      </c>
      <c r="DI49" s="2"/>
    </row>
    <row r="50" spans="1:113" x14ac:dyDescent="0.35">
      <c r="A50" s="127" t="s">
        <v>304</v>
      </c>
      <c r="B50" s="29" t="s">
        <v>697</v>
      </c>
      <c r="C50" s="30">
        <v>450</v>
      </c>
      <c r="D50" s="49"/>
      <c r="E50" s="4"/>
      <c r="F50" s="4"/>
      <c r="G50" s="4"/>
      <c r="H50" s="4"/>
      <c r="I50" s="4"/>
      <c r="J50" s="4"/>
      <c r="K50" s="2"/>
      <c r="L50" s="4"/>
      <c r="M50" s="4"/>
      <c r="N50" s="4"/>
      <c r="O50" s="4"/>
      <c r="P50" s="4"/>
      <c r="Q50" s="4"/>
      <c r="S50" s="228">
        <v>290</v>
      </c>
      <c r="T50" s="185">
        <v>234.35</v>
      </c>
      <c r="U50" s="4"/>
      <c r="V50" s="4">
        <v>221.07</v>
      </c>
      <c r="W50" s="4"/>
      <c r="X50" s="4">
        <v>207.57</v>
      </c>
      <c r="Y50" s="4"/>
      <c r="Z50" s="4">
        <v>193.86</v>
      </c>
      <c r="AA50" s="4"/>
      <c r="AB50" s="4">
        <v>179.94</v>
      </c>
      <c r="AC50" s="2"/>
      <c r="AG50" s="228">
        <v>290</v>
      </c>
      <c r="AH50" s="185">
        <v>141.11000000000001</v>
      </c>
      <c r="AI50" s="4"/>
      <c r="AJ50" s="4">
        <v>126.43</v>
      </c>
      <c r="AK50" s="4"/>
      <c r="AL50" s="8">
        <v>111.52</v>
      </c>
      <c r="AM50" s="4"/>
      <c r="AN50" s="4">
        <v>96.38</v>
      </c>
      <c r="AO50" s="4"/>
      <c r="AP50" s="4">
        <v>80.98</v>
      </c>
      <c r="AQ50" s="2"/>
      <c r="AU50" s="228">
        <v>290</v>
      </c>
      <c r="AV50" s="185">
        <v>228.3</v>
      </c>
      <c r="AW50" s="4"/>
      <c r="AX50" s="4">
        <v>215.01</v>
      </c>
      <c r="AY50" s="4"/>
      <c r="AZ50" s="4">
        <v>201.51</v>
      </c>
      <c r="BA50" s="4"/>
      <c r="BB50" s="4">
        <v>187.78</v>
      </c>
      <c r="BC50" s="4"/>
      <c r="BD50" s="4">
        <v>173.84</v>
      </c>
      <c r="BE50" s="2"/>
      <c r="BI50" s="228">
        <v>290</v>
      </c>
      <c r="BJ50" s="185">
        <v>134.38</v>
      </c>
      <c r="BK50" s="4"/>
      <c r="BL50" s="4">
        <v>119.61</v>
      </c>
      <c r="BM50" s="4"/>
      <c r="BN50" s="4">
        <v>104.61</v>
      </c>
      <c r="BO50" s="4"/>
      <c r="BP50" s="4">
        <v>89.34</v>
      </c>
      <c r="BQ50" s="4"/>
      <c r="BR50" s="4">
        <v>73.8</v>
      </c>
      <c r="BS50" s="2"/>
      <c r="BW50" s="228">
        <v>290</v>
      </c>
      <c r="BX50" s="185">
        <v>237.26</v>
      </c>
      <c r="BY50" s="4"/>
      <c r="BZ50" s="4">
        <v>224.05</v>
      </c>
      <c r="CA50" s="4"/>
      <c r="CB50" s="8">
        <v>210.62</v>
      </c>
      <c r="CC50" s="4"/>
      <c r="CD50" s="4">
        <v>196.98</v>
      </c>
      <c r="CE50" s="4"/>
      <c r="CF50" s="4">
        <v>183.13</v>
      </c>
      <c r="CG50" s="2"/>
      <c r="CK50" s="228">
        <v>290</v>
      </c>
      <c r="CL50" s="185">
        <v>192.25</v>
      </c>
      <c r="CM50" s="4"/>
      <c r="CN50" s="4">
        <v>178.35</v>
      </c>
      <c r="CO50" s="4"/>
      <c r="CP50" s="8">
        <v>164.23</v>
      </c>
      <c r="CQ50" s="4"/>
      <c r="CR50" s="4">
        <v>149.9</v>
      </c>
      <c r="CS50" s="4"/>
      <c r="CT50" s="4">
        <v>135.36000000000001</v>
      </c>
      <c r="CU50" s="2"/>
      <c r="CY50" s="228">
        <v>290</v>
      </c>
      <c r="CZ50" s="185">
        <v>145</v>
      </c>
      <c r="DA50" s="4"/>
      <c r="DB50" s="4">
        <v>130.38999999999999</v>
      </c>
      <c r="DC50" s="4"/>
      <c r="DD50" s="8">
        <v>115.56</v>
      </c>
      <c r="DE50" s="4"/>
      <c r="DF50" s="4">
        <v>100.49</v>
      </c>
      <c r="DG50" s="4"/>
      <c r="DH50" s="4">
        <v>85.18</v>
      </c>
      <c r="DI50" s="2"/>
    </row>
    <row r="51" spans="1:113" x14ac:dyDescent="0.35">
      <c r="A51" s="127" t="s">
        <v>305</v>
      </c>
      <c r="B51" s="29" t="s">
        <v>698</v>
      </c>
      <c r="C51" s="30">
        <v>465</v>
      </c>
      <c r="D51" s="49"/>
      <c r="E51" s="4"/>
      <c r="F51" s="4"/>
      <c r="G51" s="4"/>
      <c r="H51" s="4"/>
      <c r="I51" s="4"/>
      <c r="J51" s="4"/>
      <c r="K51" s="2"/>
      <c r="L51" s="4"/>
      <c r="M51" s="4"/>
      <c r="N51" s="4"/>
      <c r="O51" s="4"/>
      <c r="P51" s="4"/>
      <c r="Q51" s="4"/>
      <c r="S51" s="228">
        <v>300</v>
      </c>
      <c r="T51" s="4">
        <v>237.31</v>
      </c>
      <c r="U51" s="4">
        <f>T51-T50</f>
        <v>2.960000000000008</v>
      </c>
      <c r="V51" s="4">
        <v>224.01</v>
      </c>
      <c r="W51" s="4">
        <f>V51-V50</f>
        <v>2.9399999999999977</v>
      </c>
      <c r="X51" s="4">
        <v>210.5</v>
      </c>
      <c r="Y51" s="4">
        <f>X51-X50</f>
        <v>2.9300000000000068</v>
      </c>
      <c r="Z51" s="4">
        <v>196.78</v>
      </c>
      <c r="AA51" s="4">
        <f>Z51-Z50</f>
        <v>2.9199999999999875</v>
      </c>
      <c r="AB51" s="4">
        <v>182.87</v>
      </c>
      <c r="AC51" s="2">
        <f>AB51-AB50</f>
        <v>2.9300000000000068</v>
      </c>
      <c r="AG51" s="228">
        <v>300</v>
      </c>
      <c r="AH51" s="4">
        <v>144.08000000000001</v>
      </c>
      <c r="AI51" s="4">
        <f>AH51-AH50</f>
        <v>2.9699999999999989</v>
      </c>
      <c r="AJ51" s="4">
        <v>129.43</v>
      </c>
      <c r="AK51" s="4">
        <f>AJ51-AJ50</f>
        <v>3</v>
      </c>
      <c r="AL51" s="8">
        <v>114.57</v>
      </c>
      <c r="AM51" s="4">
        <f>AL51-AL50</f>
        <v>3.0499999999999972</v>
      </c>
      <c r="AN51" s="4">
        <v>99.47</v>
      </c>
      <c r="AO51" s="4">
        <f>AN51-AN50</f>
        <v>3.0900000000000034</v>
      </c>
      <c r="AP51" s="4">
        <v>84.14</v>
      </c>
      <c r="AQ51" s="2">
        <f>AP51-AP50</f>
        <v>3.1599999999999966</v>
      </c>
      <c r="AU51" s="228">
        <v>300</v>
      </c>
      <c r="AV51" s="4">
        <v>231.4</v>
      </c>
      <c r="AW51" s="4">
        <f>AV51-AV50</f>
        <v>3.0999999999999943</v>
      </c>
      <c r="AX51" s="4">
        <v>218.11</v>
      </c>
      <c r="AY51" s="4">
        <f>AX51-AX50</f>
        <v>3.1000000000000227</v>
      </c>
      <c r="AZ51" s="4">
        <v>204.6</v>
      </c>
      <c r="BA51" s="4">
        <f>AZ51-AZ50</f>
        <v>3.0900000000000034</v>
      </c>
      <c r="BB51" s="4">
        <v>190.88</v>
      </c>
      <c r="BC51" s="4">
        <f>BB51-BB50</f>
        <v>3.0999999999999943</v>
      </c>
      <c r="BD51" s="4">
        <v>176.94</v>
      </c>
      <c r="BE51" s="2">
        <f>BD51-BD50</f>
        <v>3.0999999999999943</v>
      </c>
      <c r="BI51" s="228">
        <v>300</v>
      </c>
      <c r="BJ51" s="4">
        <v>137.55000000000001</v>
      </c>
      <c r="BK51" s="4">
        <f>BJ51-BJ50</f>
        <v>3.1700000000000159</v>
      </c>
      <c r="BL51" s="4">
        <v>122.82</v>
      </c>
      <c r="BM51" s="4">
        <f>BL51-BL50</f>
        <v>3.2099999999999937</v>
      </c>
      <c r="BN51" s="4">
        <v>107.86</v>
      </c>
      <c r="BO51" s="4">
        <f>BN51-BN50</f>
        <v>3.25</v>
      </c>
      <c r="BP51" s="4">
        <v>92.66</v>
      </c>
      <c r="BQ51" s="4">
        <f>BP51-BP50</f>
        <v>3.3199999999999932</v>
      </c>
      <c r="BR51" s="4">
        <v>77.19</v>
      </c>
      <c r="BS51" s="2">
        <f>BR51-BR50</f>
        <v>3.3900000000000006</v>
      </c>
      <c r="BW51" s="228">
        <v>300</v>
      </c>
      <c r="BX51" s="4">
        <v>240.22</v>
      </c>
      <c r="BY51" s="4">
        <f>BX51-BX50</f>
        <v>2.960000000000008</v>
      </c>
      <c r="BZ51" s="4">
        <v>226.99</v>
      </c>
      <c r="CA51" s="4">
        <f>BZ51-BZ50</f>
        <v>2.9399999999999977</v>
      </c>
      <c r="CB51" s="8">
        <v>213.55</v>
      </c>
      <c r="CC51" s="4">
        <f>CB51-CB50</f>
        <v>2.9300000000000068</v>
      </c>
      <c r="CD51" s="4">
        <v>199.9</v>
      </c>
      <c r="CE51" s="4">
        <f>CD51-CD50</f>
        <v>2.9200000000000159</v>
      </c>
      <c r="CF51" s="4">
        <v>186.05</v>
      </c>
      <c r="CG51" s="2">
        <f>CF51-CF50</f>
        <v>2.9200000000000159</v>
      </c>
      <c r="CK51" s="228">
        <v>300</v>
      </c>
      <c r="CL51" s="4">
        <v>195.18</v>
      </c>
      <c r="CM51" s="4">
        <f>CL51-CL50</f>
        <v>2.9300000000000068</v>
      </c>
      <c r="CN51" s="4">
        <v>181.27</v>
      </c>
      <c r="CO51" s="4">
        <f>CN51-CN50</f>
        <v>2.9200000000000159</v>
      </c>
      <c r="CP51" s="8">
        <v>167.17</v>
      </c>
      <c r="CQ51" s="4">
        <f>CP51-CP50</f>
        <v>2.9399999999999977</v>
      </c>
      <c r="CR51" s="4">
        <v>152.86000000000001</v>
      </c>
      <c r="CS51" s="4">
        <f>CR51-CR50</f>
        <v>2.960000000000008</v>
      </c>
      <c r="CT51" s="4">
        <v>138.34</v>
      </c>
      <c r="CU51" s="2">
        <f>CT51-CT50</f>
        <v>2.9799999999999898</v>
      </c>
      <c r="CY51" s="228">
        <v>300</v>
      </c>
      <c r="CZ51" s="4">
        <v>147.97</v>
      </c>
      <c r="DA51" s="4">
        <f>CZ51-CZ50</f>
        <v>2.9699999999999989</v>
      </c>
      <c r="DB51" s="4">
        <v>133.38999999999999</v>
      </c>
      <c r="DC51" s="4">
        <f>DB51-DB50</f>
        <v>3</v>
      </c>
      <c r="DD51" s="8">
        <v>118.59</v>
      </c>
      <c r="DE51" s="4">
        <f>DD51-DD50</f>
        <v>3.0300000000000011</v>
      </c>
      <c r="DF51" s="4">
        <v>103.57</v>
      </c>
      <c r="DG51" s="4">
        <f>DF51-DF50</f>
        <v>3.0799999999999983</v>
      </c>
      <c r="DH51" s="4">
        <v>88.32</v>
      </c>
      <c r="DI51" s="2">
        <f>DH51-DH50</f>
        <v>3.1399999999999864</v>
      </c>
    </row>
    <row r="52" spans="1:113" x14ac:dyDescent="0.35">
      <c r="A52" s="211" t="s">
        <v>524</v>
      </c>
      <c r="B52" s="34" t="s">
        <v>699</v>
      </c>
      <c r="C52" s="39">
        <v>480</v>
      </c>
      <c r="D52" s="50"/>
      <c r="E52" s="5"/>
      <c r="F52" s="5"/>
      <c r="G52" s="5"/>
      <c r="H52" s="5"/>
      <c r="I52" s="5"/>
      <c r="J52" s="5"/>
      <c r="K52" s="3"/>
      <c r="L52" s="4"/>
      <c r="M52" s="4"/>
      <c r="N52" s="4"/>
      <c r="O52" s="4"/>
      <c r="P52" s="4"/>
      <c r="Q52" s="4"/>
      <c r="S52" s="228">
        <v>310</v>
      </c>
      <c r="T52" s="8">
        <v>240.26</v>
      </c>
      <c r="U52" s="4">
        <f t="shared" ref="U52:U69" si="1">T52-T51</f>
        <v>2.9499999999999886</v>
      </c>
      <c r="V52" s="4"/>
      <c r="W52" s="4">
        <f t="shared" ref="W52:W69" si="2">V52-V51</f>
        <v>-224.01</v>
      </c>
      <c r="X52" s="4"/>
      <c r="Y52" s="4">
        <f t="shared" ref="Y52:Y69" si="3">X52-X51</f>
        <v>-210.5</v>
      </c>
      <c r="Z52" s="4"/>
      <c r="AA52" s="4">
        <f t="shared" ref="AA52:AC69" si="4">Z52-Z51</f>
        <v>-196.78</v>
      </c>
      <c r="AB52" s="4"/>
      <c r="AC52" s="2">
        <f t="shared" si="4"/>
        <v>-182.87</v>
      </c>
      <c r="AG52" s="228">
        <v>310</v>
      </c>
      <c r="AH52" s="4"/>
      <c r="AI52" s="4">
        <f t="shared" ref="AI52:AI69" si="5">AH52-AH51</f>
        <v>-144.08000000000001</v>
      </c>
      <c r="AJ52" s="4"/>
      <c r="AK52" s="4">
        <f t="shared" ref="AK52:AK69" si="6">AJ52-AJ51</f>
        <v>-129.43</v>
      </c>
      <c r="AL52" s="4"/>
      <c r="AM52" s="4">
        <f t="shared" ref="AM52:AM69" si="7">AL52-AL51</f>
        <v>-114.57</v>
      </c>
      <c r="AN52" s="4"/>
      <c r="AO52" s="4">
        <f t="shared" ref="AO52:AO69" si="8">AN52-AN51</f>
        <v>-99.47</v>
      </c>
      <c r="AP52" s="4"/>
      <c r="AQ52" s="2">
        <f t="shared" ref="AQ52:AQ69" si="9">AP52-AP51</f>
        <v>-84.14</v>
      </c>
      <c r="AU52" s="228">
        <v>310</v>
      </c>
      <c r="AV52" s="8"/>
      <c r="AW52" s="4">
        <f t="shared" ref="AW52:AW69" si="10">AV52-AV51</f>
        <v>-231.4</v>
      </c>
      <c r="AX52" s="4"/>
      <c r="AY52" s="4">
        <f t="shared" ref="AY52:AY69" si="11">AX52-AX51</f>
        <v>-218.11</v>
      </c>
      <c r="AZ52" s="8"/>
      <c r="BA52" s="4">
        <f t="shared" ref="BA52:BA69" si="12">AZ52-AZ51</f>
        <v>-204.6</v>
      </c>
      <c r="BB52" s="4"/>
      <c r="BC52" s="4">
        <f t="shared" ref="BC52:BC69" si="13">BB52-BB51</f>
        <v>-190.88</v>
      </c>
      <c r="BD52" s="8"/>
      <c r="BE52" s="2">
        <f t="shared" ref="BE52:BE69" si="14">BD52-BD51</f>
        <v>-176.94</v>
      </c>
      <c r="BI52" s="228">
        <v>310</v>
      </c>
      <c r="BJ52" s="8"/>
      <c r="BK52" s="4">
        <f t="shared" ref="BK52:BK69" si="15">BJ52-BJ51</f>
        <v>-137.55000000000001</v>
      </c>
      <c r="BL52" s="4"/>
      <c r="BM52" s="4">
        <f t="shared" ref="BM52:BM69" si="16">BL52-BL51</f>
        <v>-122.82</v>
      </c>
      <c r="BN52" s="8"/>
      <c r="BO52" s="4">
        <f t="shared" ref="BO52:BO69" si="17">BN52-BN51</f>
        <v>-107.86</v>
      </c>
      <c r="BP52" s="4"/>
      <c r="BQ52" s="4">
        <f t="shared" ref="BQ52:BQ69" si="18">BP52-BP51</f>
        <v>-92.66</v>
      </c>
      <c r="BR52" s="8"/>
      <c r="BS52" s="2">
        <f t="shared" ref="BS52:BS69" si="19">BR52-BR51</f>
        <v>-77.19</v>
      </c>
      <c r="BW52" s="228">
        <v>310</v>
      </c>
      <c r="BX52" s="8"/>
      <c r="BY52" s="4">
        <f t="shared" ref="BY52:BY69" si="20">BX52-BX51</f>
        <v>-240.22</v>
      </c>
      <c r="BZ52" s="8"/>
      <c r="CA52" s="4">
        <f t="shared" ref="CA52:CA69" si="21">BZ52-BZ51</f>
        <v>-226.99</v>
      </c>
      <c r="CB52" s="8"/>
      <c r="CC52" s="4">
        <f>CB52-CB51</f>
        <v>-213.55</v>
      </c>
      <c r="CD52" s="8"/>
      <c r="CE52" s="4">
        <f t="shared" ref="CE52:CE69" si="22">CD52-CD51</f>
        <v>-199.9</v>
      </c>
      <c r="CF52" s="8"/>
      <c r="CG52" s="2">
        <f t="shared" ref="CG52:CG69" si="23">CF52-CF51</f>
        <v>-186.05</v>
      </c>
      <c r="CK52" s="228">
        <v>310</v>
      </c>
      <c r="CL52" s="8"/>
      <c r="CM52" s="4">
        <f t="shared" ref="CM52:CM69" si="24">CL52-CL51</f>
        <v>-195.18</v>
      </c>
      <c r="CN52" s="8"/>
      <c r="CO52" s="4">
        <f t="shared" ref="CO52:CO69" si="25">CN52-CN51</f>
        <v>-181.27</v>
      </c>
      <c r="CP52" s="8"/>
      <c r="CQ52" s="4">
        <f>CP52-CP51</f>
        <v>-167.17</v>
      </c>
      <c r="CR52" s="8"/>
      <c r="CS52" s="4">
        <f t="shared" ref="CS52:CS69" si="26">CR52-CR51</f>
        <v>-152.86000000000001</v>
      </c>
      <c r="CT52" s="8"/>
      <c r="CU52" s="2">
        <f t="shared" ref="CU52:CU69" si="27">CT52-CT51</f>
        <v>-138.34</v>
      </c>
      <c r="CY52" s="228">
        <v>310</v>
      </c>
      <c r="CZ52" s="8"/>
      <c r="DA52" s="4">
        <f t="shared" ref="DA52:DA69" si="28">CZ52-CZ51</f>
        <v>-147.97</v>
      </c>
      <c r="DB52" s="8"/>
      <c r="DC52" s="4">
        <f t="shared" ref="DC52:DC69" si="29">DB52-DB51</f>
        <v>-133.38999999999999</v>
      </c>
      <c r="DD52" s="8"/>
      <c r="DE52" s="4">
        <f>DD52-DD51</f>
        <v>-118.59</v>
      </c>
      <c r="DF52" s="8"/>
      <c r="DG52" s="4">
        <f t="shared" ref="DG52:DG69" si="30">DF52-DF51</f>
        <v>-103.57</v>
      </c>
      <c r="DH52" s="8"/>
      <c r="DI52" s="2">
        <f t="shared" ref="DI52:DI69" si="31">DH52-DH51</f>
        <v>-88.32</v>
      </c>
    </row>
    <row r="53" spans="1:113" x14ac:dyDescent="0.35">
      <c r="A53" s="350" t="s">
        <v>318</v>
      </c>
      <c r="B53" s="351"/>
      <c r="C53" s="30" t="s">
        <v>478</v>
      </c>
      <c r="D53" s="49"/>
      <c r="E53" s="4"/>
      <c r="F53" s="4"/>
      <c r="G53" s="4"/>
      <c r="H53" s="4"/>
      <c r="I53" s="4"/>
      <c r="J53" s="4"/>
      <c r="K53" s="2"/>
      <c r="L53" s="4"/>
      <c r="M53" s="4"/>
      <c r="N53" s="4"/>
      <c r="O53" s="4"/>
      <c r="P53" s="4"/>
      <c r="Q53" s="4"/>
      <c r="S53" s="228">
        <v>320</v>
      </c>
      <c r="T53" s="4"/>
      <c r="U53" s="173">
        <f t="shared" si="1"/>
        <v>-240.26</v>
      </c>
      <c r="V53" s="4"/>
      <c r="W53" s="173">
        <f t="shared" si="2"/>
        <v>0</v>
      </c>
      <c r="X53" s="4"/>
      <c r="Y53" s="4">
        <f t="shared" si="3"/>
        <v>0</v>
      </c>
      <c r="Z53" s="4"/>
      <c r="AA53" s="4">
        <f t="shared" si="4"/>
        <v>0</v>
      </c>
      <c r="AB53" s="4"/>
      <c r="AC53" s="2">
        <f t="shared" si="4"/>
        <v>0</v>
      </c>
      <c r="AG53" s="228">
        <v>320</v>
      </c>
      <c r="AH53" s="4"/>
      <c r="AI53" s="173">
        <f t="shared" si="5"/>
        <v>0</v>
      </c>
      <c r="AJ53" s="4"/>
      <c r="AK53" s="173">
        <f t="shared" si="6"/>
        <v>0</v>
      </c>
      <c r="AL53" s="4"/>
      <c r="AM53" s="4">
        <f t="shared" si="7"/>
        <v>0</v>
      </c>
      <c r="AN53" s="4"/>
      <c r="AO53" s="4">
        <f t="shared" si="8"/>
        <v>0</v>
      </c>
      <c r="AP53" s="4"/>
      <c r="AQ53" s="2">
        <f t="shared" si="9"/>
        <v>0</v>
      </c>
      <c r="AU53" s="228">
        <v>320</v>
      </c>
      <c r="AV53" s="4"/>
      <c r="AW53" s="173">
        <f t="shared" si="10"/>
        <v>0</v>
      </c>
      <c r="AX53" s="4"/>
      <c r="AY53" s="173">
        <f t="shared" si="11"/>
        <v>0</v>
      </c>
      <c r="AZ53" s="4"/>
      <c r="BA53" s="4">
        <f t="shared" si="12"/>
        <v>0</v>
      </c>
      <c r="BB53" s="4"/>
      <c r="BC53" s="4">
        <f t="shared" si="13"/>
        <v>0</v>
      </c>
      <c r="BD53" s="4"/>
      <c r="BE53" s="2">
        <f t="shared" si="14"/>
        <v>0</v>
      </c>
      <c r="BI53" s="228">
        <v>320</v>
      </c>
      <c r="BJ53" s="4"/>
      <c r="BK53" s="173">
        <f t="shared" si="15"/>
        <v>0</v>
      </c>
      <c r="BL53" s="4"/>
      <c r="BM53" s="173">
        <f t="shared" si="16"/>
        <v>0</v>
      </c>
      <c r="BN53" s="4"/>
      <c r="BO53" s="4">
        <f t="shared" si="17"/>
        <v>0</v>
      </c>
      <c r="BP53" s="4"/>
      <c r="BQ53" s="4">
        <f t="shared" si="18"/>
        <v>0</v>
      </c>
      <c r="BR53" s="4"/>
      <c r="BS53" s="2">
        <f t="shared" si="19"/>
        <v>0</v>
      </c>
      <c r="BW53" s="228">
        <v>320</v>
      </c>
      <c r="BX53" s="4"/>
      <c r="BY53" s="173">
        <f t="shared" si="20"/>
        <v>0</v>
      </c>
      <c r="BZ53" s="4"/>
      <c r="CA53" s="173">
        <f t="shared" si="21"/>
        <v>0</v>
      </c>
      <c r="CB53" s="4"/>
      <c r="CC53" s="4">
        <f>CB53-CB52</f>
        <v>0</v>
      </c>
      <c r="CD53" s="4"/>
      <c r="CE53" s="4">
        <f t="shared" si="22"/>
        <v>0</v>
      </c>
      <c r="CF53" s="4"/>
      <c r="CG53" s="2">
        <f t="shared" si="23"/>
        <v>0</v>
      </c>
      <c r="CK53" s="228">
        <v>320</v>
      </c>
      <c r="CL53" s="4"/>
      <c r="CM53" s="173">
        <f t="shared" si="24"/>
        <v>0</v>
      </c>
      <c r="CN53" s="4"/>
      <c r="CO53" s="173">
        <f t="shared" si="25"/>
        <v>0</v>
      </c>
      <c r="CP53" s="4"/>
      <c r="CQ53" s="173">
        <f>CP53-CP52</f>
        <v>0</v>
      </c>
      <c r="CR53" s="4"/>
      <c r="CS53" s="4">
        <f t="shared" si="26"/>
        <v>0</v>
      </c>
      <c r="CT53" s="4"/>
      <c r="CU53" s="2">
        <f t="shared" si="27"/>
        <v>0</v>
      </c>
      <c r="CY53" s="228">
        <v>320</v>
      </c>
      <c r="CZ53" s="4"/>
      <c r="DA53" s="173">
        <f t="shared" si="28"/>
        <v>0</v>
      </c>
      <c r="DB53" s="4"/>
      <c r="DC53" s="173">
        <f t="shared" si="29"/>
        <v>0</v>
      </c>
      <c r="DD53" s="4"/>
      <c r="DE53" s="4">
        <f>DD53-DD52</f>
        <v>0</v>
      </c>
      <c r="DF53" s="4"/>
      <c r="DG53" s="4">
        <f t="shared" si="30"/>
        <v>0</v>
      </c>
      <c r="DH53" s="4"/>
      <c r="DI53" s="2">
        <f t="shared" si="31"/>
        <v>0</v>
      </c>
    </row>
    <row r="54" spans="1:113" x14ac:dyDescent="0.35">
      <c r="A54" s="28" t="s">
        <v>319</v>
      </c>
      <c r="B54" s="29" t="s">
        <v>700</v>
      </c>
      <c r="C54" s="30">
        <v>450</v>
      </c>
      <c r="D54" s="49"/>
      <c r="E54" s="4"/>
      <c r="F54" s="4"/>
      <c r="G54" s="4"/>
      <c r="H54" s="4"/>
      <c r="I54" s="4"/>
      <c r="J54" s="4"/>
      <c r="K54" s="2"/>
      <c r="L54" s="4"/>
      <c r="M54" s="4"/>
      <c r="N54" s="4"/>
      <c r="O54" s="4"/>
      <c r="P54" s="4"/>
      <c r="Q54" s="4"/>
      <c r="S54" s="228">
        <v>330</v>
      </c>
      <c r="T54" s="4"/>
      <c r="U54" s="173">
        <f t="shared" si="1"/>
        <v>0</v>
      </c>
      <c r="V54" s="4"/>
      <c r="W54" s="173">
        <f t="shared" si="2"/>
        <v>0</v>
      </c>
      <c r="X54" s="4"/>
      <c r="Y54" s="4">
        <f t="shared" si="3"/>
        <v>0</v>
      </c>
      <c r="Z54" s="4"/>
      <c r="AA54" s="173">
        <f t="shared" si="4"/>
        <v>0</v>
      </c>
      <c r="AB54" s="4"/>
      <c r="AC54" s="174">
        <f t="shared" si="4"/>
        <v>0</v>
      </c>
      <c r="AG54" s="228">
        <v>330</v>
      </c>
      <c r="AH54" s="4"/>
      <c r="AI54" s="173">
        <f t="shared" si="5"/>
        <v>0</v>
      </c>
      <c r="AJ54" s="4"/>
      <c r="AK54" s="173">
        <f t="shared" si="6"/>
        <v>0</v>
      </c>
      <c r="AL54" s="4"/>
      <c r="AM54" s="4">
        <f t="shared" si="7"/>
        <v>0</v>
      </c>
      <c r="AN54" s="4"/>
      <c r="AO54" s="173">
        <f t="shared" si="8"/>
        <v>0</v>
      </c>
      <c r="AP54" s="4"/>
      <c r="AQ54" s="174">
        <f t="shared" si="9"/>
        <v>0</v>
      </c>
      <c r="AU54" s="228">
        <v>330</v>
      </c>
      <c r="AV54" s="4"/>
      <c r="AW54" s="173">
        <f t="shared" si="10"/>
        <v>0</v>
      </c>
      <c r="AX54" s="4"/>
      <c r="AY54" s="173">
        <f t="shared" si="11"/>
        <v>0</v>
      </c>
      <c r="AZ54" s="4"/>
      <c r="BA54" s="4">
        <f t="shared" si="12"/>
        <v>0</v>
      </c>
      <c r="BB54" s="4"/>
      <c r="BC54" s="173">
        <f t="shared" si="13"/>
        <v>0</v>
      </c>
      <c r="BD54" s="4"/>
      <c r="BE54" s="174">
        <f t="shared" si="14"/>
        <v>0</v>
      </c>
      <c r="BI54" s="228">
        <v>330</v>
      </c>
      <c r="BJ54" s="4"/>
      <c r="BK54" s="173">
        <f t="shared" si="15"/>
        <v>0</v>
      </c>
      <c r="BL54" s="4"/>
      <c r="BM54" s="173">
        <f t="shared" si="16"/>
        <v>0</v>
      </c>
      <c r="BN54" s="4"/>
      <c r="BO54" s="4">
        <f t="shared" si="17"/>
        <v>0</v>
      </c>
      <c r="BP54" s="4"/>
      <c r="BQ54" s="173">
        <f t="shared" si="18"/>
        <v>0</v>
      </c>
      <c r="BR54" s="4"/>
      <c r="BS54" s="174">
        <f t="shared" si="19"/>
        <v>0</v>
      </c>
      <c r="BW54" s="228">
        <v>330</v>
      </c>
      <c r="BX54" s="4"/>
      <c r="BY54" s="173">
        <f t="shared" si="20"/>
        <v>0</v>
      </c>
      <c r="BZ54" s="4"/>
      <c r="CA54" s="173">
        <f t="shared" si="21"/>
        <v>0</v>
      </c>
      <c r="CB54" s="4"/>
      <c r="CC54" s="4">
        <f t="shared" ref="CC54:CC69" si="32">CB54-CB53</f>
        <v>0</v>
      </c>
      <c r="CD54" s="4"/>
      <c r="CE54" s="173">
        <f t="shared" si="22"/>
        <v>0</v>
      </c>
      <c r="CF54" s="4"/>
      <c r="CG54" s="174">
        <f t="shared" si="23"/>
        <v>0</v>
      </c>
      <c r="CK54" s="228">
        <v>330</v>
      </c>
      <c r="CL54" s="4"/>
      <c r="CM54" s="173">
        <f t="shared" si="24"/>
        <v>0</v>
      </c>
      <c r="CN54" s="4"/>
      <c r="CO54" s="173">
        <f t="shared" si="25"/>
        <v>0</v>
      </c>
      <c r="CP54" s="4"/>
      <c r="CQ54" s="173">
        <f t="shared" ref="CQ54:CQ69" si="33">CP54-CP53</f>
        <v>0</v>
      </c>
      <c r="CR54" s="4"/>
      <c r="CS54" s="173">
        <f t="shared" si="26"/>
        <v>0</v>
      </c>
      <c r="CT54" s="4"/>
      <c r="CU54" s="174">
        <f t="shared" si="27"/>
        <v>0</v>
      </c>
      <c r="CY54" s="228">
        <v>330</v>
      </c>
      <c r="CZ54" s="4"/>
      <c r="DA54" s="173">
        <f t="shared" si="28"/>
        <v>0</v>
      </c>
      <c r="DB54" s="4"/>
      <c r="DC54" s="173">
        <f t="shared" si="29"/>
        <v>0</v>
      </c>
      <c r="DD54" s="4"/>
      <c r="DE54" s="4">
        <f t="shared" ref="DE54:DE69" si="34">DD54-DD53</f>
        <v>0</v>
      </c>
      <c r="DF54" s="4"/>
      <c r="DG54" s="173">
        <f t="shared" si="30"/>
        <v>0</v>
      </c>
      <c r="DH54" s="4"/>
      <c r="DI54" s="174">
        <f t="shared" si="31"/>
        <v>0</v>
      </c>
    </row>
    <row r="55" spans="1:113" x14ac:dyDescent="0.35">
      <c r="A55" s="28" t="s">
        <v>320</v>
      </c>
      <c r="B55" s="29" t="s">
        <v>701</v>
      </c>
      <c r="C55" s="30">
        <v>460</v>
      </c>
      <c r="D55" s="49"/>
      <c r="E55" s="4"/>
      <c r="F55" s="4"/>
      <c r="G55" s="4"/>
      <c r="H55" s="4"/>
      <c r="I55" s="4"/>
      <c r="J55" s="4"/>
      <c r="K55" s="2"/>
      <c r="L55" s="4"/>
      <c r="M55" s="4"/>
      <c r="N55" s="4"/>
      <c r="O55" s="4"/>
      <c r="P55" s="4"/>
      <c r="Q55" s="4"/>
      <c r="S55" s="228">
        <v>340</v>
      </c>
      <c r="T55" s="4"/>
      <c r="U55" s="173">
        <f t="shared" si="1"/>
        <v>0</v>
      </c>
      <c r="V55" s="4"/>
      <c r="W55" s="173">
        <f t="shared" si="2"/>
        <v>0</v>
      </c>
      <c r="X55" s="4"/>
      <c r="Y55" s="4">
        <f t="shared" si="3"/>
        <v>0</v>
      </c>
      <c r="Z55" s="4"/>
      <c r="AA55" s="173">
        <f t="shared" si="4"/>
        <v>0</v>
      </c>
      <c r="AB55" s="4"/>
      <c r="AC55" s="174">
        <f t="shared" si="4"/>
        <v>0</v>
      </c>
      <c r="AG55" s="228">
        <v>340</v>
      </c>
      <c r="AH55" s="4"/>
      <c r="AI55" s="173">
        <f t="shared" si="5"/>
        <v>0</v>
      </c>
      <c r="AJ55" s="4"/>
      <c r="AK55" s="173">
        <f t="shared" si="6"/>
        <v>0</v>
      </c>
      <c r="AL55" s="4"/>
      <c r="AM55" s="4">
        <f t="shared" si="7"/>
        <v>0</v>
      </c>
      <c r="AN55" s="4"/>
      <c r="AO55" s="173">
        <f t="shared" si="8"/>
        <v>0</v>
      </c>
      <c r="AP55" s="4"/>
      <c r="AQ55" s="174">
        <f t="shared" si="9"/>
        <v>0</v>
      </c>
      <c r="AU55" s="228">
        <v>340</v>
      </c>
      <c r="AV55" s="4"/>
      <c r="AW55" s="173">
        <f t="shared" si="10"/>
        <v>0</v>
      </c>
      <c r="AX55" s="4"/>
      <c r="AY55" s="173">
        <f t="shared" si="11"/>
        <v>0</v>
      </c>
      <c r="AZ55" s="4"/>
      <c r="BA55" s="4">
        <f t="shared" si="12"/>
        <v>0</v>
      </c>
      <c r="BB55" s="4"/>
      <c r="BC55" s="173">
        <f t="shared" si="13"/>
        <v>0</v>
      </c>
      <c r="BD55" s="4"/>
      <c r="BE55" s="174">
        <f t="shared" si="14"/>
        <v>0</v>
      </c>
      <c r="BI55" s="228">
        <v>340</v>
      </c>
      <c r="BJ55" s="4"/>
      <c r="BK55" s="173">
        <f t="shared" si="15"/>
        <v>0</v>
      </c>
      <c r="BL55" s="4"/>
      <c r="BM55" s="173">
        <f t="shared" si="16"/>
        <v>0</v>
      </c>
      <c r="BN55" s="4"/>
      <c r="BO55" s="4">
        <f t="shared" si="17"/>
        <v>0</v>
      </c>
      <c r="BP55" s="4"/>
      <c r="BQ55" s="173">
        <f t="shared" si="18"/>
        <v>0</v>
      </c>
      <c r="BR55" s="4"/>
      <c r="BS55" s="174">
        <f t="shared" si="19"/>
        <v>0</v>
      </c>
      <c r="BW55" s="228">
        <v>340</v>
      </c>
      <c r="BX55" s="4"/>
      <c r="BY55" s="173">
        <f t="shared" si="20"/>
        <v>0</v>
      </c>
      <c r="BZ55" s="4"/>
      <c r="CA55" s="173">
        <f t="shared" si="21"/>
        <v>0</v>
      </c>
      <c r="CB55" s="4"/>
      <c r="CC55" s="4">
        <f t="shared" si="32"/>
        <v>0</v>
      </c>
      <c r="CD55" s="4"/>
      <c r="CE55" s="173">
        <f t="shared" si="22"/>
        <v>0</v>
      </c>
      <c r="CF55" s="4"/>
      <c r="CG55" s="174">
        <f t="shared" si="23"/>
        <v>0</v>
      </c>
      <c r="CK55" s="228">
        <v>340</v>
      </c>
      <c r="CL55" s="4"/>
      <c r="CM55" s="173">
        <f t="shared" si="24"/>
        <v>0</v>
      </c>
      <c r="CN55" s="4"/>
      <c r="CO55" s="173">
        <f t="shared" si="25"/>
        <v>0</v>
      </c>
      <c r="CP55" s="4"/>
      <c r="CQ55" s="173">
        <f t="shared" si="33"/>
        <v>0</v>
      </c>
      <c r="CR55" s="4"/>
      <c r="CS55" s="173">
        <f t="shared" si="26"/>
        <v>0</v>
      </c>
      <c r="CT55" s="4"/>
      <c r="CU55" s="174">
        <f t="shared" si="27"/>
        <v>0</v>
      </c>
      <c r="CY55" s="228">
        <v>340</v>
      </c>
      <c r="CZ55" s="4"/>
      <c r="DA55" s="173">
        <f t="shared" si="28"/>
        <v>0</v>
      </c>
      <c r="DB55" s="4"/>
      <c r="DC55" s="173">
        <f t="shared" si="29"/>
        <v>0</v>
      </c>
      <c r="DD55" s="4"/>
      <c r="DE55" s="4">
        <f t="shared" si="34"/>
        <v>0</v>
      </c>
      <c r="DF55" s="4"/>
      <c r="DG55" s="173">
        <f t="shared" si="30"/>
        <v>0</v>
      </c>
      <c r="DH55" s="4"/>
      <c r="DI55" s="174">
        <f t="shared" si="31"/>
        <v>0</v>
      </c>
    </row>
    <row r="56" spans="1:113" x14ac:dyDescent="0.35">
      <c r="A56" s="28" t="s">
        <v>321</v>
      </c>
      <c r="B56" s="29" t="s">
        <v>702</v>
      </c>
      <c r="C56" s="30">
        <v>470</v>
      </c>
      <c r="D56" s="49"/>
      <c r="E56" s="4"/>
      <c r="F56" s="4"/>
      <c r="G56" s="4"/>
      <c r="H56" s="4"/>
      <c r="I56" s="4"/>
      <c r="J56" s="4"/>
      <c r="K56" s="2"/>
      <c r="L56" s="4"/>
      <c r="M56" s="4"/>
      <c r="N56" s="4"/>
      <c r="O56" s="4"/>
      <c r="P56" s="4"/>
      <c r="Q56" s="4"/>
      <c r="S56" s="228">
        <v>350</v>
      </c>
      <c r="T56" s="4"/>
      <c r="U56" s="173">
        <f t="shared" si="1"/>
        <v>0</v>
      </c>
      <c r="V56" s="4"/>
      <c r="W56" s="173">
        <f t="shared" si="2"/>
        <v>0</v>
      </c>
      <c r="X56" s="4"/>
      <c r="Y56" s="4">
        <f t="shared" si="3"/>
        <v>0</v>
      </c>
      <c r="Z56" s="4"/>
      <c r="AA56" s="173">
        <f t="shared" si="4"/>
        <v>0</v>
      </c>
      <c r="AB56" s="4"/>
      <c r="AC56" s="174">
        <f t="shared" si="4"/>
        <v>0</v>
      </c>
      <c r="AG56" s="228">
        <v>350</v>
      </c>
      <c r="AH56" s="4"/>
      <c r="AI56" s="173">
        <f t="shared" si="5"/>
        <v>0</v>
      </c>
      <c r="AJ56" s="4"/>
      <c r="AK56" s="173">
        <f t="shared" si="6"/>
        <v>0</v>
      </c>
      <c r="AL56" s="4"/>
      <c r="AM56" s="4">
        <f t="shared" si="7"/>
        <v>0</v>
      </c>
      <c r="AN56" s="4"/>
      <c r="AO56" s="173">
        <f t="shared" si="8"/>
        <v>0</v>
      </c>
      <c r="AP56" s="4"/>
      <c r="AQ56" s="174">
        <f t="shared" si="9"/>
        <v>0</v>
      </c>
      <c r="AU56" s="228">
        <v>350</v>
      </c>
      <c r="AV56" s="4"/>
      <c r="AW56" s="173">
        <f t="shared" si="10"/>
        <v>0</v>
      </c>
      <c r="AX56" s="4"/>
      <c r="AY56" s="173">
        <f t="shared" si="11"/>
        <v>0</v>
      </c>
      <c r="AZ56" s="4"/>
      <c r="BA56" s="4">
        <f t="shared" si="12"/>
        <v>0</v>
      </c>
      <c r="BB56" s="4"/>
      <c r="BC56" s="173">
        <f t="shared" si="13"/>
        <v>0</v>
      </c>
      <c r="BD56" s="4"/>
      <c r="BE56" s="174">
        <f t="shared" si="14"/>
        <v>0</v>
      </c>
      <c r="BI56" s="228">
        <v>350</v>
      </c>
      <c r="BJ56" s="4"/>
      <c r="BK56" s="173">
        <f t="shared" si="15"/>
        <v>0</v>
      </c>
      <c r="BL56" s="4"/>
      <c r="BM56" s="173">
        <f t="shared" si="16"/>
        <v>0</v>
      </c>
      <c r="BN56" s="4"/>
      <c r="BO56" s="4">
        <f t="shared" si="17"/>
        <v>0</v>
      </c>
      <c r="BP56" s="4"/>
      <c r="BQ56" s="173">
        <f t="shared" si="18"/>
        <v>0</v>
      </c>
      <c r="BR56" s="4"/>
      <c r="BS56" s="174">
        <f t="shared" si="19"/>
        <v>0</v>
      </c>
      <c r="BW56" s="228">
        <v>350</v>
      </c>
      <c r="BX56" s="4"/>
      <c r="BY56" s="173">
        <f t="shared" si="20"/>
        <v>0</v>
      </c>
      <c r="BZ56" s="4"/>
      <c r="CA56" s="173">
        <f t="shared" si="21"/>
        <v>0</v>
      </c>
      <c r="CB56" s="4"/>
      <c r="CC56" s="4">
        <f t="shared" si="32"/>
        <v>0</v>
      </c>
      <c r="CD56" s="4"/>
      <c r="CE56" s="173">
        <f t="shared" si="22"/>
        <v>0</v>
      </c>
      <c r="CF56" s="4"/>
      <c r="CG56" s="174">
        <f t="shared" si="23"/>
        <v>0</v>
      </c>
      <c r="CK56" s="228">
        <v>350</v>
      </c>
      <c r="CL56" s="4"/>
      <c r="CM56" s="173">
        <f t="shared" si="24"/>
        <v>0</v>
      </c>
      <c r="CN56" s="4"/>
      <c r="CO56" s="173">
        <f t="shared" si="25"/>
        <v>0</v>
      </c>
      <c r="CP56" s="4"/>
      <c r="CQ56" s="173">
        <f t="shared" si="33"/>
        <v>0</v>
      </c>
      <c r="CR56" s="4"/>
      <c r="CS56" s="173">
        <f t="shared" si="26"/>
        <v>0</v>
      </c>
      <c r="CT56" s="4"/>
      <c r="CU56" s="174">
        <f t="shared" si="27"/>
        <v>0</v>
      </c>
      <c r="CY56" s="228">
        <v>350</v>
      </c>
      <c r="CZ56" s="4"/>
      <c r="DA56" s="173">
        <f t="shared" si="28"/>
        <v>0</v>
      </c>
      <c r="DB56" s="4"/>
      <c r="DC56" s="173">
        <f t="shared" si="29"/>
        <v>0</v>
      </c>
      <c r="DD56" s="4"/>
      <c r="DE56" s="4">
        <f t="shared" si="34"/>
        <v>0</v>
      </c>
      <c r="DF56" s="4"/>
      <c r="DG56" s="173">
        <f t="shared" si="30"/>
        <v>0</v>
      </c>
      <c r="DH56" s="4"/>
      <c r="DI56" s="174">
        <f t="shared" si="31"/>
        <v>0</v>
      </c>
    </row>
    <row r="57" spans="1:113" x14ac:dyDescent="0.35">
      <c r="A57" s="28" t="s">
        <v>322</v>
      </c>
      <c r="B57" s="29" t="s">
        <v>703</v>
      </c>
      <c r="C57" s="30">
        <v>480</v>
      </c>
      <c r="D57" s="49"/>
      <c r="E57" s="4"/>
      <c r="F57" s="4"/>
      <c r="G57" s="4"/>
      <c r="H57" s="4"/>
      <c r="I57" s="4"/>
      <c r="J57" s="4"/>
      <c r="K57" s="2"/>
      <c r="L57" s="4"/>
      <c r="M57" s="4"/>
      <c r="N57" s="4"/>
      <c r="O57" s="4"/>
      <c r="P57" s="4"/>
      <c r="Q57" s="4"/>
      <c r="S57" s="228">
        <v>360</v>
      </c>
      <c r="T57" s="4"/>
      <c r="U57" s="173">
        <f t="shared" si="1"/>
        <v>0</v>
      </c>
      <c r="V57" s="4"/>
      <c r="W57" s="173">
        <f t="shared" si="2"/>
        <v>0</v>
      </c>
      <c r="X57" s="4"/>
      <c r="Y57" s="4">
        <f t="shared" si="3"/>
        <v>0</v>
      </c>
      <c r="Z57" s="4"/>
      <c r="AA57" s="173">
        <f t="shared" si="4"/>
        <v>0</v>
      </c>
      <c r="AB57" s="4"/>
      <c r="AC57" s="174">
        <f t="shared" si="4"/>
        <v>0</v>
      </c>
      <c r="AG57" s="228">
        <v>360</v>
      </c>
      <c r="AH57" s="4"/>
      <c r="AI57" s="173">
        <f t="shared" si="5"/>
        <v>0</v>
      </c>
      <c r="AJ57" s="4"/>
      <c r="AK57" s="173">
        <f t="shared" si="6"/>
        <v>0</v>
      </c>
      <c r="AL57" s="4"/>
      <c r="AM57" s="4">
        <f t="shared" si="7"/>
        <v>0</v>
      </c>
      <c r="AN57" s="4"/>
      <c r="AO57" s="173">
        <f t="shared" si="8"/>
        <v>0</v>
      </c>
      <c r="AP57" s="4"/>
      <c r="AQ57" s="174">
        <f t="shared" si="9"/>
        <v>0</v>
      </c>
      <c r="AU57" s="228">
        <v>360</v>
      </c>
      <c r="AV57" s="4"/>
      <c r="AW57" s="173">
        <f t="shared" si="10"/>
        <v>0</v>
      </c>
      <c r="AX57" s="4"/>
      <c r="AY57" s="173">
        <f t="shared" si="11"/>
        <v>0</v>
      </c>
      <c r="AZ57" s="4"/>
      <c r="BA57" s="4">
        <f t="shared" si="12"/>
        <v>0</v>
      </c>
      <c r="BB57" s="4"/>
      <c r="BC57" s="173">
        <f t="shared" si="13"/>
        <v>0</v>
      </c>
      <c r="BD57" s="4"/>
      <c r="BE57" s="174">
        <f t="shared" si="14"/>
        <v>0</v>
      </c>
      <c r="BI57" s="228">
        <v>360</v>
      </c>
      <c r="BJ57" s="4"/>
      <c r="BK57" s="173">
        <f t="shared" si="15"/>
        <v>0</v>
      </c>
      <c r="BL57" s="4"/>
      <c r="BM57" s="173">
        <f t="shared" si="16"/>
        <v>0</v>
      </c>
      <c r="BN57" s="4"/>
      <c r="BO57" s="4">
        <f t="shared" si="17"/>
        <v>0</v>
      </c>
      <c r="BP57" s="4"/>
      <c r="BQ57" s="173">
        <f t="shared" si="18"/>
        <v>0</v>
      </c>
      <c r="BR57" s="4"/>
      <c r="BS57" s="174">
        <f t="shared" si="19"/>
        <v>0</v>
      </c>
      <c r="BW57" s="228">
        <v>360</v>
      </c>
      <c r="BX57" s="4"/>
      <c r="BY57" s="173">
        <f t="shared" si="20"/>
        <v>0</v>
      </c>
      <c r="BZ57" s="4"/>
      <c r="CA57" s="173">
        <f t="shared" si="21"/>
        <v>0</v>
      </c>
      <c r="CB57" s="4"/>
      <c r="CC57" s="4">
        <f t="shared" si="32"/>
        <v>0</v>
      </c>
      <c r="CD57" s="4"/>
      <c r="CE57" s="173">
        <f t="shared" si="22"/>
        <v>0</v>
      </c>
      <c r="CF57" s="4"/>
      <c r="CG57" s="174">
        <f t="shared" si="23"/>
        <v>0</v>
      </c>
      <c r="CK57" s="228">
        <v>360</v>
      </c>
      <c r="CL57" s="4"/>
      <c r="CM57" s="173">
        <f t="shared" si="24"/>
        <v>0</v>
      </c>
      <c r="CN57" s="4"/>
      <c r="CO57" s="173">
        <f t="shared" si="25"/>
        <v>0</v>
      </c>
      <c r="CP57" s="4"/>
      <c r="CQ57" s="173">
        <f t="shared" si="33"/>
        <v>0</v>
      </c>
      <c r="CR57" s="4"/>
      <c r="CS57" s="173">
        <f t="shared" si="26"/>
        <v>0</v>
      </c>
      <c r="CT57" s="4"/>
      <c r="CU57" s="174">
        <f t="shared" si="27"/>
        <v>0</v>
      </c>
      <c r="CY57" s="228">
        <v>360</v>
      </c>
      <c r="CZ57" s="4"/>
      <c r="DA57" s="173">
        <f t="shared" si="28"/>
        <v>0</v>
      </c>
      <c r="DB57" s="4"/>
      <c r="DC57" s="173">
        <f t="shared" si="29"/>
        <v>0</v>
      </c>
      <c r="DD57" s="4"/>
      <c r="DE57" s="4">
        <f t="shared" si="34"/>
        <v>0</v>
      </c>
      <c r="DF57" s="4"/>
      <c r="DG57" s="173">
        <f t="shared" si="30"/>
        <v>0</v>
      </c>
      <c r="DH57" s="4"/>
      <c r="DI57" s="174">
        <f t="shared" si="31"/>
        <v>0</v>
      </c>
    </row>
    <row r="58" spans="1:113" x14ac:dyDescent="0.35">
      <c r="A58" s="28" t="s">
        <v>323</v>
      </c>
      <c r="B58" s="29" t="s">
        <v>704</v>
      </c>
      <c r="C58" s="30">
        <v>490</v>
      </c>
      <c r="D58" s="49"/>
      <c r="E58" s="4"/>
      <c r="F58" s="4"/>
      <c r="G58" s="4"/>
      <c r="H58" s="4"/>
      <c r="I58" s="4"/>
      <c r="J58" s="4"/>
      <c r="K58" s="2"/>
      <c r="L58" s="4"/>
      <c r="M58" s="4"/>
      <c r="N58" s="4"/>
      <c r="O58" s="4"/>
      <c r="P58" s="4"/>
      <c r="Q58" s="4"/>
      <c r="S58" s="228">
        <v>370</v>
      </c>
      <c r="T58" s="4"/>
      <c r="U58" s="173">
        <f t="shared" si="1"/>
        <v>0</v>
      </c>
      <c r="V58" s="4"/>
      <c r="W58" s="173">
        <f t="shared" si="2"/>
        <v>0</v>
      </c>
      <c r="X58" s="4"/>
      <c r="Y58" s="4">
        <f t="shared" si="3"/>
        <v>0</v>
      </c>
      <c r="Z58" s="4"/>
      <c r="AA58" s="173">
        <f t="shared" si="4"/>
        <v>0</v>
      </c>
      <c r="AB58" s="4"/>
      <c r="AC58" s="174">
        <f t="shared" si="4"/>
        <v>0</v>
      </c>
      <c r="AG58" s="228">
        <v>370</v>
      </c>
      <c r="AH58" s="4"/>
      <c r="AI58" s="173">
        <f t="shared" si="5"/>
        <v>0</v>
      </c>
      <c r="AJ58" s="4"/>
      <c r="AK58" s="173">
        <f t="shared" si="6"/>
        <v>0</v>
      </c>
      <c r="AL58" s="4"/>
      <c r="AM58" s="4">
        <f t="shared" si="7"/>
        <v>0</v>
      </c>
      <c r="AN58" s="4"/>
      <c r="AO58" s="173">
        <f t="shared" si="8"/>
        <v>0</v>
      </c>
      <c r="AP58" s="4"/>
      <c r="AQ58" s="174">
        <f t="shared" si="9"/>
        <v>0</v>
      </c>
      <c r="AU58" s="228">
        <v>370</v>
      </c>
      <c r="AV58" s="4"/>
      <c r="AW58" s="173">
        <f t="shared" si="10"/>
        <v>0</v>
      </c>
      <c r="AX58" s="4"/>
      <c r="AY58" s="173">
        <f t="shared" si="11"/>
        <v>0</v>
      </c>
      <c r="AZ58" s="4"/>
      <c r="BA58" s="4">
        <f t="shared" si="12"/>
        <v>0</v>
      </c>
      <c r="BB58" s="4"/>
      <c r="BC58" s="173">
        <f t="shared" si="13"/>
        <v>0</v>
      </c>
      <c r="BD58" s="4"/>
      <c r="BE58" s="174">
        <f t="shared" si="14"/>
        <v>0</v>
      </c>
      <c r="BI58" s="228">
        <v>370</v>
      </c>
      <c r="BJ58" s="4"/>
      <c r="BK58" s="173">
        <f t="shared" si="15"/>
        <v>0</v>
      </c>
      <c r="BL58" s="4"/>
      <c r="BM58" s="173">
        <f t="shared" si="16"/>
        <v>0</v>
      </c>
      <c r="BN58" s="4"/>
      <c r="BO58" s="4">
        <f t="shared" si="17"/>
        <v>0</v>
      </c>
      <c r="BP58" s="4"/>
      <c r="BQ58" s="173">
        <f t="shared" si="18"/>
        <v>0</v>
      </c>
      <c r="BR58" s="4"/>
      <c r="BS58" s="174">
        <f t="shared" si="19"/>
        <v>0</v>
      </c>
      <c r="BW58" s="228">
        <v>370</v>
      </c>
      <c r="BX58" s="4"/>
      <c r="BY58" s="173">
        <f t="shared" si="20"/>
        <v>0</v>
      </c>
      <c r="BZ58" s="4"/>
      <c r="CA58" s="173">
        <f t="shared" si="21"/>
        <v>0</v>
      </c>
      <c r="CB58" s="4"/>
      <c r="CC58" s="4">
        <f t="shared" si="32"/>
        <v>0</v>
      </c>
      <c r="CD58" s="4"/>
      <c r="CE58" s="173">
        <f t="shared" si="22"/>
        <v>0</v>
      </c>
      <c r="CF58" s="4"/>
      <c r="CG58" s="174">
        <f t="shared" si="23"/>
        <v>0</v>
      </c>
      <c r="CK58" s="228">
        <v>370</v>
      </c>
      <c r="CL58" s="4"/>
      <c r="CM58" s="173">
        <f t="shared" si="24"/>
        <v>0</v>
      </c>
      <c r="CN58" s="4"/>
      <c r="CO58" s="173">
        <f t="shared" si="25"/>
        <v>0</v>
      </c>
      <c r="CP58" s="4"/>
      <c r="CQ58" s="173">
        <f t="shared" si="33"/>
        <v>0</v>
      </c>
      <c r="CR58" s="4"/>
      <c r="CS58" s="173">
        <f t="shared" si="26"/>
        <v>0</v>
      </c>
      <c r="CT58" s="4"/>
      <c r="CU58" s="174">
        <f t="shared" si="27"/>
        <v>0</v>
      </c>
      <c r="CY58" s="228">
        <v>370</v>
      </c>
      <c r="CZ58" s="4"/>
      <c r="DA58" s="173">
        <f t="shared" si="28"/>
        <v>0</v>
      </c>
      <c r="DB58" s="4"/>
      <c r="DC58" s="173">
        <f t="shared" si="29"/>
        <v>0</v>
      </c>
      <c r="DD58" s="4"/>
      <c r="DE58" s="4">
        <f t="shared" si="34"/>
        <v>0</v>
      </c>
      <c r="DF58" s="4"/>
      <c r="DG58" s="173">
        <f t="shared" si="30"/>
        <v>0</v>
      </c>
      <c r="DH58" s="4"/>
      <c r="DI58" s="174">
        <f t="shared" si="31"/>
        <v>0</v>
      </c>
    </row>
    <row r="59" spans="1:113" x14ac:dyDescent="0.35">
      <c r="A59" s="28" t="s">
        <v>324</v>
      </c>
      <c r="B59" s="29" t="s">
        <v>705</v>
      </c>
      <c r="C59" s="30">
        <v>500</v>
      </c>
      <c r="D59" s="49"/>
      <c r="E59" s="4"/>
      <c r="F59" s="4"/>
      <c r="G59" s="4"/>
      <c r="H59" s="4"/>
      <c r="I59" s="4"/>
      <c r="J59" s="4"/>
      <c r="K59" s="2"/>
      <c r="L59" s="4"/>
      <c r="M59" s="4"/>
      <c r="N59" s="4"/>
      <c r="O59" s="4"/>
      <c r="P59" s="4"/>
      <c r="Q59" s="4"/>
      <c r="S59" s="228">
        <v>380</v>
      </c>
      <c r="T59" s="4"/>
      <c r="U59" s="173">
        <f t="shared" si="1"/>
        <v>0</v>
      </c>
      <c r="V59" s="4"/>
      <c r="W59" s="173">
        <f t="shared" si="2"/>
        <v>0</v>
      </c>
      <c r="X59" s="4"/>
      <c r="Y59" s="4">
        <f t="shared" si="3"/>
        <v>0</v>
      </c>
      <c r="Z59" s="4"/>
      <c r="AA59" s="173">
        <f t="shared" si="4"/>
        <v>0</v>
      </c>
      <c r="AB59" s="4"/>
      <c r="AC59" s="174">
        <f t="shared" si="4"/>
        <v>0</v>
      </c>
      <c r="AG59" s="228">
        <v>380</v>
      </c>
      <c r="AH59" s="4"/>
      <c r="AI59" s="173">
        <f t="shared" si="5"/>
        <v>0</v>
      </c>
      <c r="AJ59" s="4"/>
      <c r="AK59" s="173">
        <f t="shared" si="6"/>
        <v>0</v>
      </c>
      <c r="AL59" s="4"/>
      <c r="AM59" s="4">
        <f t="shared" si="7"/>
        <v>0</v>
      </c>
      <c r="AN59" s="4"/>
      <c r="AO59" s="173">
        <f t="shared" si="8"/>
        <v>0</v>
      </c>
      <c r="AP59" s="4"/>
      <c r="AQ59" s="174">
        <f t="shared" si="9"/>
        <v>0</v>
      </c>
      <c r="AU59" s="228">
        <v>380</v>
      </c>
      <c r="AV59" s="4"/>
      <c r="AW59" s="173">
        <f t="shared" si="10"/>
        <v>0</v>
      </c>
      <c r="AX59" s="4"/>
      <c r="AY59" s="173">
        <f t="shared" si="11"/>
        <v>0</v>
      </c>
      <c r="AZ59" s="4"/>
      <c r="BA59" s="4">
        <f t="shared" si="12"/>
        <v>0</v>
      </c>
      <c r="BB59" s="4"/>
      <c r="BC59" s="173">
        <f t="shared" si="13"/>
        <v>0</v>
      </c>
      <c r="BD59" s="4"/>
      <c r="BE59" s="174">
        <f t="shared" si="14"/>
        <v>0</v>
      </c>
      <c r="BI59" s="228">
        <v>380</v>
      </c>
      <c r="BJ59" s="4"/>
      <c r="BK59" s="173">
        <f t="shared" si="15"/>
        <v>0</v>
      </c>
      <c r="BL59" s="4"/>
      <c r="BM59" s="173">
        <f t="shared" si="16"/>
        <v>0</v>
      </c>
      <c r="BN59" s="4"/>
      <c r="BO59" s="4">
        <f t="shared" si="17"/>
        <v>0</v>
      </c>
      <c r="BP59" s="4"/>
      <c r="BQ59" s="173">
        <f t="shared" si="18"/>
        <v>0</v>
      </c>
      <c r="BR59" s="4"/>
      <c r="BS59" s="174">
        <f t="shared" si="19"/>
        <v>0</v>
      </c>
      <c r="BW59" s="228">
        <v>380</v>
      </c>
      <c r="BX59" s="4"/>
      <c r="BY59" s="173">
        <f t="shared" si="20"/>
        <v>0</v>
      </c>
      <c r="BZ59" s="4"/>
      <c r="CA59" s="173">
        <f t="shared" si="21"/>
        <v>0</v>
      </c>
      <c r="CB59" s="4"/>
      <c r="CC59" s="4">
        <f t="shared" si="32"/>
        <v>0</v>
      </c>
      <c r="CD59" s="4"/>
      <c r="CE59" s="173">
        <f t="shared" si="22"/>
        <v>0</v>
      </c>
      <c r="CF59" s="4"/>
      <c r="CG59" s="174">
        <f t="shared" si="23"/>
        <v>0</v>
      </c>
      <c r="CK59" s="228">
        <v>380</v>
      </c>
      <c r="CL59" s="4"/>
      <c r="CM59" s="173">
        <f t="shared" si="24"/>
        <v>0</v>
      </c>
      <c r="CN59" s="4"/>
      <c r="CO59" s="173">
        <f t="shared" si="25"/>
        <v>0</v>
      </c>
      <c r="CP59" s="4"/>
      <c r="CQ59" s="173">
        <f t="shared" si="33"/>
        <v>0</v>
      </c>
      <c r="CR59" s="4"/>
      <c r="CS59" s="173">
        <f t="shared" si="26"/>
        <v>0</v>
      </c>
      <c r="CT59" s="4"/>
      <c r="CU59" s="174">
        <f t="shared" si="27"/>
        <v>0</v>
      </c>
      <c r="CY59" s="228">
        <v>380</v>
      </c>
      <c r="CZ59" s="4"/>
      <c r="DA59" s="173">
        <f t="shared" si="28"/>
        <v>0</v>
      </c>
      <c r="DB59" s="4"/>
      <c r="DC59" s="173">
        <f t="shared" si="29"/>
        <v>0</v>
      </c>
      <c r="DD59" s="4"/>
      <c r="DE59" s="4">
        <f t="shared" si="34"/>
        <v>0</v>
      </c>
      <c r="DF59" s="4"/>
      <c r="DG59" s="173">
        <f t="shared" si="30"/>
        <v>0</v>
      </c>
      <c r="DH59" s="4"/>
      <c r="DI59" s="174">
        <f t="shared" si="31"/>
        <v>0</v>
      </c>
    </row>
    <row r="60" spans="1:113" x14ac:dyDescent="0.35">
      <c r="A60" s="28" t="s">
        <v>325</v>
      </c>
      <c r="B60" s="29" t="s">
        <v>706</v>
      </c>
      <c r="C60" s="30">
        <v>510</v>
      </c>
      <c r="D60" s="49"/>
      <c r="E60" s="4"/>
      <c r="F60" s="4"/>
      <c r="G60" s="4"/>
      <c r="H60" s="4"/>
      <c r="I60" s="4"/>
      <c r="J60" s="4"/>
      <c r="K60" s="2"/>
      <c r="L60" s="4"/>
      <c r="M60" s="4"/>
      <c r="N60" s="4"/>
      <c r="O60" s="4"/>
      <c r="P60" s="4"/>
      <c r="Q60" s="4"/>
      <c r="S60" s="228">
        <v>390</v>
      </c>
      <c r="T60" s="4"/>
      <c r="U60" s="173">
        <f t="shared" si="1"/>
        <v>0</v>
      </c>
      <c r="V60" s="4"/>
      <c r="W60" s="173">
        <f t="shared" si="2"/>
        <v>0</v>
      </c>
      <c r="X60" s="4"/>
      <c r="Y60" s="173">
        <f t="shared" si="3"/>
        <v>0</v>
      </c>
      <c r="Z60" s="4"/>
      <c r="AA60" s="173">
        <f t="shared" si="4"/>
        <v>0</v>
      </c>
      <c r="AB60" s="4"/>
      <c r="AC60" s="174">
        <f t="shared" si="4"/>
        <v>0</v>
      </c>
      <c r="AG60" s="228">
        <v>390</v>
      </c>
      <c r="AH60" s="4"/>
      <c r="AI60" s="173">
        <f t="shared" si="5"/>
        <v>0</v>
      </c>
      <c r="AJ60" s="4"/>
      <c r="AK60" s="173">
        <f t="shared" si="6"/>
        <v>0</v>
      </c>
      <c r="AL60" s="4"/>
      <c r="AM60" s="173">
        <f t="shared" si="7"/>
        <v>0</v>
      </c>
      <c r="AN60" s="4"/>
      <c r="AO60" s="173">
        <f t="shared" si="8"/>
        <v>0</v>
      </c>
      <c r="AP60" s="4"/>
      <c r="AQ60" s="174">
        <f t="shared" si="9"/>
        <v>0</v>
      </c>
      <c r="AU60" s="228">
        <v>390</v>
      </c>
      <c r="AV60" s="4"/>
      <c r="AW60" s="173">
        <f t="shared" si="10"/>
        <v>0</v>
      </c>
      <c r="AX60" s="4"/>
      <c r="AY60" s="173">
        <f t="shared" si="11"/>
        <v>0</v>
      </c>
      <c r="AZ60" s="4"/>
      <c r="BA60" s="173">
        <f t="shared" si="12"/>
        <v>0</v>
      </c>
      <c r="BB60" s="4"/>
      <c r="BC60" s="173">
        <f t="shared" si="13"/>
        <v>0</v>
      </c>
      <c r="BD60" s="4"/>
      <c r="BE60" s="174">
        <f t="shared" si="14"/>
        <v>0</v>
      </c>
      <c r="BI60" s="228">
        <v>390</v>
      </c>
      <c r="BJ60" s="4"/>
      <c r="BK60" s="173">
        <f t="shared" si="15"/>
        <v>0</v>
      </c>
      <c r="BL60" s="4"/>
      <c r="BM60" s="173">
        <f t="shared" si="16"/>
        <v>0</v>
      </c>
      <c r="BN60" s="4"/>
      <c r="BO60" s="173">
        <f t="shared" si="17"/>
        <v>0</v>
      </c>
      <c r="BP60" s="4"/>
      <c r="BQ60" s="173">
        <f t="shared" si="18"/>
        <v>0</v>
      </c>
      <c r="BR60" s="4"/>
      <c r="BS60" s="174">
        <f t="shared" si="19"/>
        <v>0</v>
      </c>
      <c r="BW60" s="228">
        <v>390</v>
      </c>
      <c r="BX60" s="4"/>
      <c r="BY60" s="173">
        <f t="shared" si="20"/>
        <v>0</v>
      </c>
      <c r="BZ60" s="4"/>
      <c r="CA60" s="173">
        <f t="shared" si="21"/>
        <v>0</v>
      </c>
      <c r="CB60" s="4"/>
      <c r="CC60" s="173">
        <f t="shared" si="32"/>
        <v>0</v>
      </c>
      <c r="CD60" s="4"/>
      <c r="CE60" s="173">
        <f t="shared" si="22"/>
        <v>0</v>
      </c>
      <c r="CF60" s="4"/>
      <c r="CG60" s="174">
        <f t="shared" si="23"/>
        <v>0</v>
      </c>
      <c r="CK60" s="228">
        <v>390</v>
      </c>
      <c r="CL60" s="4"/>
      <c r="CM60" s="173">
        <f t="shared" si="24"/>
        <v>0</v>
      </c>
      <c r="CN60" s="4"/>
      <c r="CO60" s="173">
        <f t="shared" si="25"/>
        <v>0</v>
      </c>
      <c r="CP60" s="4"/>
      <c r="CQ60" s="173">
        <f t="shared" si="33"/>
        <v>0</v>
      </c>
      <c r="CR60" s="4"/>
      <c r="CS60" s="173">
        <f t="shared" si="26"/>
        <v>0</v>
      </c>
      <c r="CT60" s="4"/>
      <c r="CU60" s="174">
        <f t="shared" si="27"/>
        <v>0</v>
      </c>
      <c r="CY60" s="228">
        <v>390</v>
      </c>
      <c r="CZ60" s="4"/>
      <c r="DA60" s="173">
        <f t="shared" si="28"/>
        <v>0</v>
      </c>
      <c r="DB60" s="4"/>
      <c r="DC60" s="173">
        <f t="shared" si="29"/>
        <v>0</v>
      </c>
      <c r="DD60" s="4"/>
      <c r="DE60" s="173">
        <f t="shared" si="34"/>
        <v>0</v>
      </c>
      <c r="DF60" s="4"/>
      <c r="DG60" s="173">
        <f t="shared" si="30"/>
        <v>0</v>
      </c>
      <c r="DH60" s="4"/>
      <c r="DI60" s="174">
        <f t="shared" si="31"/>
        <v>0</v>
      </c>
    </row>
    <row r="61" spans="1:113" x14ac:dyDescent="0.35">
      <c r="A61" s="28" t="s">
        <v>326</v>
      </c>
      <c r="B61" s="29" t="s">
        <v>707</v>
      </c>
      <c r="C61" s="30">
        <v>520</v>
      </c>
      <c r="D61" s="49"/>
      <c r="E61" s="4"/>
      <c r="F61" s="4"/>
      <c r="G61" s="4"/>
      <c r="H61" s="4"/>
      <c r="I61" s="4"/>
      <c r="J61" s="4"/>
      <c r="K61" s="2"/>
      <c r="L61" s="4"/>
      <c r="M61" s="4"/>
      <c r="N61" s="4"/>
      <c r="O61" s="4"/>
      <c r="P61" s="4"/>
      <c r="Q61" s="4"/>
      <c r="S61" s="228">
        <v>400</v>
      </c>
      <c r="T61" s="4"/>
      <c r="U61" s="173">
        <f t="shared" si="1"/>
        <v>0</v>
      </c>
      <c r="V61" s="4"/>
      <c r="W61" s="173">
        <f t="shared" si="2"/>
        <v>0</v>
      </c>
      <c r="X61" s="4"/>
      <c r="Y61" s="173">
        <f t="shared" si="3"/>
        <v>0</v>
      </c>
      <c r="Z61" s="4"/>
      <c r="AA61" s="173">
        <f t="shared" si="4"/>
        <v>0</v>
      </c>
      <c r="AB61" s="4"/>
      <c r="AC61" s="174">
        <f t="shared" si="4"/>
        <v>0</v>
      </c>
      <c r="AG61" s="228">
        <v>400</v>
      </c>
      <c r="AH61" s="4"/>
      <c r="AI61" s="173">
        <f t="shared" si="5"/>
        <v>0</v>
      </c>
      <c r="AJ61" s="4"/>
      <c r="AK61" s="173">
        <f t="shared" si="6"/>
        <v>0</v>
      </c>
      <c r="AL61" s="4"/>
      <c r="AM61" s="173">
        <f t="shared" si="7"/>
        <v>0</v>
      </c>
      <c r="AN61" s="4"/>
      <c r="AO61" s="173">
        <f t="shared" si="8"/>
        <v>0</v>
      </c>
      <c r="AP61" s="4"/>
      <c r="AQ61" s="174">
        <f t="shared" si="9"/>
        <v>0</v>
      </c>
      <c r="AU61" s="228">
        <v>400</v>
      </c>
      <c r="AV61" s="4"/>
      <c r="AW61" s="173">
        <f t="shared" si="10"/>
        <v>0</v>
      </c>
      <c r="AX61" s="4"/>
      <c r="AY61" s="173">
        <f t="shared" si="11"/>
        <v>0</v>
      </c>
      <c r="AZ61" s="4"/>
      <c r="BA61" s="173">
        <f t="shared" si="12"/>
        <v>0</v>
      </c>
      <c r="BB61" s="4"/>
      <c r="BC61" s="173">
        <f t="shared" si="13"/>
        <v>0</v>
      </c>
      <c r="BD61" s="4"/>
      <c r="BE61" s="174">
        <f t="shared" si="14"/>
        <v>0</v>
      </c>
      <c r="BI61" s="228">
        <v>400</v>
      </c>
      <c r="BJ61" s="4"/>
      <c r="BK61" s="173">
        <f t="shared" si="15"/>
        <v>0</v>
      </c>
      <c r="BL61" s="4"/>
      <c r="BM61" s="173">
        <f t="shared" si="16"/>
        <v>0</v>
      </c>
      <c r="BN61" s="4"/>
      <c r="BO61" s="173">
        <f t="shared" si="17"/>
        <v>0</v>
      </c>
      <c r="BP61" s="4"/>
      <c r="BQ61" s="173">
        <f t="shared" si="18"/>
        <v>0</v>
      </c>
      <c r="BR61" s="4"/>
      <c r="BS61" s="174">
        <f t="shared" si="19"/>
        <v>0</v>
      </c>
      <c r="BW61" s="228">
        <v>400</v>
      </c>
      <c r="BX61" s="4"/>
      <c r="BY61" s="173">
        <f t="shared" si="20"/>
        <v>0</v>
      </c>
      <c r="BZ61" s="4"/>
      <c r="CA61" s="173">
        <f t="shared" si="21"/>
        <v>0</v>
      </c>
      <c r="CB61" s="4"/>
      <c r="CC61" s="173">
        <f t="shared" si="32"/>
        <v>0</v>
      </c>
      <c r="CD61" s="4"/>
      <c r="CE61" s="173">
        <f t="shared" si="22"/>
        <v>0</v>
      </c>
      <c r="CF61" s="4"/>
      <c r="CG61" s="174">
        <f t="shared" si="23"/>
        <v>0</v>
      </c>
      <c r="CK61" s="228">
        <v>400</v>
      </c>
      <c r="CL61" s="4"/>
      <c r="CM61" s="173">
        <f t="shared" si="24"/>
        <v>0</v>
      </c>
      <c r="CN61" s="4"/>
      <c r="CO61" s="173">
        <f t="shared" si="25"/>
        <v>0</v>
      </c>
      <c r="CP61" s="4"/>
      <c r="CQ61" s="173">
        <f t="shared" si="33"/>
        <v>0</v>
      </c>
      <c r="CR61" s="4"/>
      <c r="CS61" s="173">
        <f t="shared" si="26"/>
        <v>0</v>
      </c>
      <c r="CT61" s="4"/>
      <c r="CU61" s="174">
        <f t="shared" si="27"/>
        <v>0</v>
      </c>
      <c r="CY61" s="228">
        <v>400</v>
      </c>
      <c r="CZ61" s="4"/>
      <c r="DA61" s="173">
        <f t="shared" si="28"/>
        <v>0</v>
      </c>
      <c r="DB61" s="4"/>
      <c r="DC61" s="173">
        <f t="shared" si="29"/>
        <v>0</v>
      </c>
      <c r="DD61" s="4"/>
      <c r="DE61" s="173">
        <f t="shared" si="34"/>
        <v>0</v>
      </c>
      <c r="DF61" s="4"/>
      <c r="DG61" s="173">
        <f t="shared" si="30"/>
        <v>0</v>
      </c>
      <c r="DH61" s="4"/>
      <c r="DI61" s="174">
        <f t="shared" si="31"/>
        <v>0</v>
      </c>
    </row>
    <row r="62" spans="1:113" x14ac:dyDescent="0.35">
      <c r="A62" s="350" t="s">
        <v>339</v>
      </c>
      <c r="B62" s="351"/>
      <c r="C62" s="40" t="s">
        <v>479</v>
      </c>
      <c r="D62" s="210"/>
      <c r="E62" s="24"/>
      <c r="F62" s="24"/>
      <c r="G62" s="24"/>
      <c r="H62" s="24"/>
      <c r="I62" s="24"/>
      <c r="J62" s="24"/>
      <c r="K62" s="7"/>
      <c r="L62" s="4"/>
      <c r="M62" s="4"/>
      <c r="N62" s="4"/>
      <c r="O62" s="4"/>
      <c r="P62" s="4"/>
      <c r="Q62" s="4"/>
      <c r="S62" s="228">
        <v>410</v>
      </c>
      <c r="T62" s="4"/>
      <c r="U62" s="173">
        <f t="shared" si="1"/>
        <v>0</v>
      </c>
      <c r="V62" s="4"/>
      <c r="W62" s="173">
        <f t="shared" si="2"/>
        <v>0</v>
      </c>
      <c r="X62" s="4"/>
      <c r="Y62" s="173">
        <f t="shared" si="3"/>
        <v>0</v>
      </c>
      <c r="Z62" s="4"/>
      <c r="AA62" s="4">
        <f t="shared" si="4"/>
        <v>0</v>
      </c>
      <c r="AB62" s="4"/>
      <c r="AC62" s="174">
        <f t="shared" si="4"/>
        <v>0</v>
      </c>
      <c r="AG62" s="228">
        <v>410</v>
      </c>
      <c r="AH62" s="4"/>
      <c r="AI62" s="173">
        <f t="shared" si="5"/>
        <v>0</v>
      </c>
      <c r="AJ62" s="4"/>
      <c r="AK62" s="173">
        <f t="shared" si="6"/>
        <v>0</v>
      </c>
      <c r="AL62" s="4"/>
      <c r="AM62" s="173">
        <f t="shared" si="7"/>
        <v>0</v>
      </c>
      <c r="AN62" s="4"/>
      <c r="AO62" s="4">
        <f t="shared" si="8"/>
        <v>0</v>
      </c>
      <c r="AP62" s="4"/>
      <c r="AQ62" s="174">
        <f t="shared" si="9"/>
        <v>0</v>
      </c>
      <c r="AU62" s="228">
        <v>410</v>
      </c>
      <c r="AV62" s="4"/>
      <c r="AW62" s="173">
        <f t="shared" si="10"/>
        <v>0</v>
      </c>
      <c r="AX62" s="4"/>
      <c r="AY62" s="173">
        <f t="shared" si="11"/>
        <v>0</v>
      </c>
      <c r="AZ62" s="4"/>
      <c r="BA62" s="173">
        <f t="shared" si="12"/>
        <v>0</v>
      </c>
      <c r="BB62" s="4"/>
      <c r="BC62" s="4">
        <f t="shared" si="13"/>
        <v>0</v>
      </c>
      <c r="BD62" s="4"/>
      <c r="BE62" s="174">
        <f t="shared" si="14"/>
        <v>0</v>
      </c>
      <c r="BI62" s="228">
        <v>410</v>
      </c>
      <c r="BJ62" s="4"/>
      <c r="BK62" s="173">
        <f t="shared" si="15"/>
        <v>0</v>
      </c>
      <c r="BL62" s="4"/>
      <c r="BM62" s="173">
        <f t="shared" si="16"/>
        <v>0</v>
      </c>
      <c r="BN62" s="4"/>
      <c r="BO62" s="173">
        <f t="shared" si="17"/>
        <v>0</v>
      </c>
      <c r="BP62" s="4"/>
      <c r="BQ62" s="4">
        <f t="shared" si="18"/>
        <v>0</v>
      </c>
      <c r="BR62" s="4"/>
      <c r="BS62" s="174">
        <f t="shared" si="19"/>
        <v>0</v>
      </c>
      <c r="BW62" s="228">
        <v>410</v>
      </c>
      <c r="BX62" s="4"/>
      <c r="BY62" s="173">
        <f t="shared" si="20"/>
        <v>0</v>
      </c>
      <c r="BZ62" s="4"/>
      <c r="CA62" s="173">
        <f t="shared" si="21"/>
        <v>0</v>
      </c>
      <c r="CB62" s="4"/>
      <c r="CC62" s="173">
        <f t="shared" si="32"/>
        <v>0</v>
      </c>
      <c r="CD62" s="4"/>
      <c r="CE62" s="4">
        <f t="shared" si="22"/>
        <v>0</v>
      </c>
      <c r="CF62" s="4"/>
      <c r="CG62" s="174">
        <f t="shared" si="23"/>
        <v>0</v>
      </c>
      <c r="CK62" s="228">
        <v>410</v>
      </c>
      <c r="CL62" s="4"/>
      <c r="CM62" s="173">
        <f t="shared" si="24"/>
        <v>0</v>
      </c>
      <c r="CN62" s="4"/>
      <c r="CO62" s="173">
        <f t="shared" si="25"/>
        <v>0</v>
      </c>
      <c r="CP62" s="4"/>
      <c r="CQ62" s="173">
        <f t="shared" si="33"/>
        <v>0</v>
      </c>
      <c r="CR62" s="4"/>
      <c r="CS62" s="173">
        <f t="shared" si="26"/>
        <v>0</v>
      </c>
      <c r="CT62" s="4"/>
      <c r="CU62" s="174">
        <f t="shared" si="27"/>
        <v>0</v>
      </c>
      <c r="CY62" s="228">
        <v>410</v>
      </c>
      <c r="CZ62" s="4"/>
      <c r="DA62" s="173">
        <f t="shared" si="28"/>
        <v>0</v>
      </c>
      <c r="DB62" s="4"/>
      <c r="DC62" s="173">
        <f t="shared" si="29"/>
        <v>0</v>
      </c>
      <c r="DD62" s="4"/>
      <c r="DE62" s="173">
        <f t="shared" si="34"/>
        <v>0</v>
      </c>
      <c r="DF62" s="4"/>
      <c r="DG62" s="4">
        <f t="shared" si="30"/>
        <v>0</v>
      </c>
      <c r="DH62" s="4"/>
      <c r="DI62" s="174">
        <f t="shared" si="31"/>
        <v>0</v>
      </c>
    </row>
    <row r="63" spans="1:113" x14ac:dyDescent="0.35">
      <c r="A63" s="127" t="s">
        <v>340</v>
      </c>
      <c r="B63" s="29" t="s">
        <v>708</v>
      </c>
      <c r="C63" s="30">
        <v>390</v>
      </c>
      <c r="D63" s="49"/>
      <c r="E63" s="4"/>
      <c r="F63" s="4"/>
      <c r="G63" s="4"/>
      <c r="H63" s="4"/>
      <c r="I63" s="4"/>
      <c r="J63" s="4"/>
      <c r="K63" s="2"/>
      <c r="L63" s="4"/>
      <c r="M63" s="4"/>
      <c r="N63" s="4"/>
      <c r="O63" s="4"/>
      <c r="P63" s="4"/>
      <c r="Q63" s="4"/>
      <c r="S63" s="228">
        <v>420</v>
      </c>
      <c r="T63" s="4"/>
      <c r="U63" s="4">
        <f t="shared" si="1"/>
        <v>0</v>
      </c>
      <c r="V63" s="4"/>
      <c r="W63" s="173">
        <f t="shared" si="2"/>
        <v>0</v>
      </c>
      <c r="X63" s="4"/>
      <c r="Y63" s="173">
        <f t="shared" si="3"/>
        <v>0</v>
      </c>
      <c r="Z63" s="4"/>
      <c r="AA63" s="173">
        <f t="shared" si="4"/>
        <v>0</v>
      </c>
      <c r="AB63" s="4"/>
      <c r="AC63" s="174">
        <f t="shared" si="4"/>
        <v>0</v>
      </c>
      <c r="AG63" s="228">
        <v>420</v>
      </c>
      <c r="AH63" s="4"/>
      <c r="AI63" s="4">
        <f t="shared" si="5"/>
        <v>0</v>
      </c>
      <c r="AJ63" s="4"/>
      <c r="AK63" s="173">
        <f t="shared" si="6"/>
        <v>0</v>
      </c>
      <c r="AL63" s="4"/>
      <c r="AM63" s="173">
        <f t="shared" si="7"/>
        <v>0</v>
      </c>
      <c r="AN63" s="4"/>
      <c r="AO63" s="173">
        <f t="shared" si="8"/>
        <v>0</v>
      </c>
      <c r="AP63" s="4"/>
      <c r="AQ63" s="174">
        <f t="shared" si="9"/>
        <v>0</v>
      </c>
      <c r="AU63" s="228">
        <v>420</v>
      </c>
      <c r="AV63" s="4"/>
      <c r="AW63" s="4">
        <f t="shared" si="10"/>
        <v>0</v>
      </c>
      <c r="AX63" s="4"/>
      <c r="AY63" s="173">
        <f t="shared" si="11"/>
        <v>0</v>
      </c>
      <c r="AZ63" s="4"/>
      <c r="BA63" s="173">
        <f t="shared" si="12"/>
        <v>0</v>
      </c>
      <c r="BB63" s="4"/>
      <c r="BC63" s="173">
        <f t="shared" si="13"/>
        <v>0</v>
      </c>
      <c r="BD63" s="4"/>
      <c r="BE63" s="174">
        <f t="shared" si="14"/>
        <v>0</v>
      </c>
      <c r="BI63" s="228">
        <v>420</v>
      </c>
      <c r="BJ63" s="4"/>
      <c r="BK63" s="4">
        <f t="shared" si="15"/>
        <v>0</v>
      </c>
      <c r="BL63" s="4"/>
      <c r="BM63" s="173">
        <f t="shared" si="16"/>
        <v>0</v>
      </c>
      <c r="BN63" s="4"/>
      <c r="BO63" s="173">
        <f t="shared" si="17"/>
        <v>0</v>
      </c>
      <c r="BP63" s="4"/>
      <c r="BQ63" s="173">
        <f t="shared" si="18"/>
        <v>0</v>
      </c>
      <c r="BR63" s="4"/>
      <c r="BS63" s="174">
        <f t="shared" si="19"/>
        <v>0</v>
      </c>
      <c r="BW63" s="228">
        <v>420</v>
      </c>
      <c r="BX63" s="4"/>
      <c r="BY63" s="4">
        <f t="shared" si="20"/>
        <v>0</v>
      </c>
      <c r="BZ63" s="4"/>
      <c r="CA63" s="173">
        <f t="shared" si="21"/>
        <v>0</v>
      </c>
      <c r="CB63" s="4"/>
      <c r="CC63" s="173">
        <f t="shared" si="32"/>
        <v>0</v>
      </c>
      <c r="CD63" s="4"/>
      <c r="CE63" s="173">
        <f t="shared" si="22"/>
        <v>0</v>
      </c>
      <c r="CF63" s="4"/>
      <c r="CG63" s="174">
        <f t="shared" si="23"/>
        <v>0</v>
      </c>
      <c r="CK63" s="228">
        <v>420</v>
      </c>
      <c r="CL63" s="4"/>
      <c r="CM63" s="173">
        <f t="shared" si="24"/>
        <v>0</v>
      </c>
      <c r="CN63" s="173"/>
      <c r="CO63" s="173">
        <f t="shared" si="25"/>
        <v>0</v>
      </c>
      <c r="CP63" s="4"/>
      <c r="CQ63" s="173">
        <f t="shared" si="33"/>
        <v>0</v>
      </c>
      <c r="CR63" s="4"/>
      <c r="CS63" s="173">
        <f t="shared" si="26"/>
        <v>0</v>
      </c>
      <c r="CT63" s="4"/>
      <c r="CU63" s="174">
        <f t="shared" si="27"/>
        <v>0</v>
      </c>
      <c r="CY63" s="228">
        <v>420</v>
      </c>
      <c r="CZ63" s="4"/>
      <c r="DA63" s="4">
        <f t="shared" si="28"/>
        <v>0</v>
      </c>
      <c r="DB63" s="4"/>
      <c r="DC63" s="173">
        <f t="shared" si="29"/>
        <v>0</v>
      </c>
      <c r="DD63" s="4"/>
      <c r="DE63" s="173">
        <f t="shared" si="34"/>
        <v>0</v>
      </c>
      <c r="DF63" s="4"/>
      <c r="DG63" s="173">
        <f t="shared" si="30"/>
        <v>0</v>
      </c>
      <c r="DH63" s="4"/>
      <c r="DI63" s="174">
        <f t="shared" si="31"/>
        <v>0</v>
      </c>
    </row>
    <row r="64" spans="1:113" x14ac:dyDescent="0.35">
      <c r="A64" s="127" t="s">
        <v>341</v>
      </c>
      <c r="B64" s="29" t="s">
        <v>709</v>
      </c>
      <c r="C64" s="30">
        <v>400</v>
      </c>
      <c r="D64" s="49"/>
      <c r="E64" s="4"/>
      <c r="F64" s="4"/>
      <c r="G64" s="4"/>
      <c r="H64" s="4"/>
      <c r="I64" s="4"/>
      <c r="J64" s="4"/>
      <c r="K64" s="2"/>
      <c r="L64" s="4"/>
      <c r="M64" s="4"/>
      <c r="N64" s="4"/>
      <c r="O64" s="4"/>
      <c r="P64" s="4"/>
      <c r="Q64" s="4"/>
      <c r="S64" s="228">
        <v>430</v>
      </c>
      <c r="T64" s="4"/>
      <c r="U64" s="4">
        <f t="shared" si="1"/>
        <v>0</v>
      </c>
      <c r="V64" s="4"/>
      <c r="W64" s="173">
        <f t="shared" si="2"/>
        <v>0</v>
      </c>
      <c r="X64" s="4"/>
      <c r="Y64" s="173">
        <f t="shared" si="3"/>
        <v>0</v>
      </c>
      <c r="Z64" s="4"/>
      <c r="AA64" s="173">
        <f t="shared" si="4"/>
        <v>0</v>
      </c>
      <c r="AB64" s="4"/>
      <c r="AC64" s="174">
        <f t="shared" si="4"/>
        <v>0</v>
      </c>
      <c r="AG64" s="228">
        <v>430</v>
      </c>
      <c r="AH64" s="4"/>
      <c r="AI64" s="4">
        <f t="shared" si="5"/>
        <v>0</v>
      </c>
      <c r="AJ64" s="4"/>
      <c r="AK64" s="173">
        <f t="shared" si="6"/>
        <v>0</v>
      </c>
      <c r="AL64" s="4"/>
      <c r="AM64" s="173">
        <f t="shared" si="7"/>
        <v>0</v>
      </c>
      <c r="AN64" s="4"/>
      <c r="AO64" s="173">
        <f t="shared" si="8"/>
        <v>0</v>
      </c>
      <c r="AP64" s="4"/>
      <c r="AQ64" s="174">
        <f t="shared" si="9"/>
        <v>0</v>
      </c>
      <c r="AU64" s="228">
        <v>430</v>
      </c>
      <c r="AV64" s="4"/>
      <c r="AW64" s="4">
        <f t="shared" si="10"/>
        <v>0</v>
      </c>
      <c r="AX64" s="4"/>
      <c r="AY64" s="173">
        <f t="shared" si="11"/>
        <v>0</v>
      </c>
      <c r="AZ64" s="4"/>
      <c r="BA64" s="173">
        <f t="shared" si="12"/>
        <v>0</v>
      </c>
      <c r="BB64" s="4"/>
      <c r="BC64" s="173">
        <f t="shared" si="13"/>
        <v>0</v>
      </c>
      <c r="BD64" s="4"/>
      <c r="BE64" s="174">
        <f t="shared" si="14"/>
        <v>0</v>
      </c>
      <c r="BI64" s="228">
        <v>430</v>
      </c>
      <c r="BJ64" s="4"/>
      <c r="BK64" s="4">
        <f t="shared" si="15"/>
        <v>0</v>
      </c>
      <c r="BL64" s="4"/>
      <c r="BM64" s="173">
        <f t="shared" si="16"/>
        <v>0</v>
      </c>
      <c r="BN64" s="4"/>
      <c r="BO64" s="173">
        <f t="shared" si="17"/>
        <v>0</v>
      </c>
      <c r="BP64" s="4"/>
      <c r="BQ64" s="173">
        <f t="shared" si="18"/>
        <v>0</v>
      </c>
      <c r="BR64" s="4"/>
      <c r="BS64" s="174">
        <f t="shared" si="19"/>
        <v>0</v>
      </c>
      <c r="BW64" s="228">
        <v>430</v>
      </c>
      <c r="BX64" s="4"/>
      <c r="BY64" s="4">
        <f t="shared" si="20"/>
        <v>0</v>
      </c>
      <c r="BZ64" s="4"/>
      <c r="CA64" s="173">
        <f t="shared" si="21"/>
        <v>0</v>
      </c>
      <c r="CB64" s="4"/>
      <c r="CC64" s="173">
        <f t="shared" si="32"/>
        <v>0</v>
      </c>
      <c r="CD64" s="4"/>
      <c r="CE64" s="173">
        <f t="shared" si="22"/>
        <v>0</v>
      </c>
      <c r="CF64" s="4"/>
      <c r="CG64" s="174">
        <f t="shared" si="23"/>
        <v>0</v>
      </c>
      <c r="CK64" s="228">
        <v>430</v>
      </c>
      <c r="CL64" s="4"/>
      <c r="CM64" s="173">
        <f t="shared" si="24"/>
        <v>0</v>
      </c>
      <c r="CN64" s="173"/>
      <c r="CO64" s="173">
        <f t="shared" si="25"/>
        <v>0</v>
      </c>
      <c r="CP64" s="4"/>
      <c r="CQ64" s="173">
        <f t="shared" si="33"/>
        <v>0</v>
      </c>
      <c r="CR64" s="4"/>
      <c r="CS64" s="173">
        <f t="shared" si="26"/>
        <v>0</v>
      </c>
      <c r="CT64" s="4"/>
      <c r="CU64" s="174">
        <f t="shared" si="27"/>
        <v>0</v>
      </c>
      <c r="CY64" s="228">
        <v>430</v>
      </c>
      <c r="CZ64" s="4"/>
      <c r="DA64" s="4">
        <f t="shared" si="28"/>
        <v>0</v>
      </c>
      <c r="DB64" s="4"/>
      <c r="DC64" s="173">
        <f t="shared" si="29"/>
        <v>0</v>
      </c>
      <c r="DD64" s="4"/>
      <c r="DE64" s="173">
        <f t="shared" si="34"/>
        <v>0</v>
      </c>
      <c r="DF64" s="4"/>
      <c r="DG64" s="173">
        <f t="shared" si="30"/>
        <v>0</v>
      </c>
      <c r="DH64" s="4"/>
      <c r="DI64" s="174">
        <f t="shared" si="31"/>
        <v>0</v>
      </c>
    </row>
    <row r="65" spans="1:115" x14ac:dyDescent="0.35">
      <c r="A65" s="127" t="s">
        <v>344</v>
      </c>
      <c r="B65" s="29" t="s">
        <v>710</v>
      </c>
      <c r="C65" s="30">
        <v>410</v>
      </c>
      <c r="D65" s="49"/>
      <c r="E65" s="4"/>
      <c r="F65" s="4"/>
      <c r="G65" s="4"/>
      <c r="H65" s="4"/>
      <c r="I65" s="4"/>
      <c r="J65" s="4"/>
      <c r="K65" s="2"/>
      <c r="L65" s="4"/>
      <c r="M65" s="4"/>
      <c r="N65" s="4"/>
      <c r="O65" s="4"/>
      <c r="P65" s="4"/>
      <c r="Q65" s="4"/>
      <c r="S65" s="228">
        <v>440</v>
      </c>
      <c r="T65" s="4"/>
      <c r="U65" s="4">
        <f t="shared" si="1"/>
        <v>0</v>
      </c>
      <c r="V65" s="4"/>
      <c r="W65" s="173">
        <f t="shared" si="2"/>
        <v>0</v>
      </c>
      <c r="X65" s="4"/>
      <c r="Y65" s="173">
        <f t="shared" si="3"/>
        <v>0</v>
      </c>
      <c r="Z65" s="4"/>
      <c r="AA65" s="173">
        <f t="shared" si="4"/>
        <v>0</v>
      </c>
      <c r="AB65" s="4"/>
      <c r="AC65" s="174">
        <f t="shared" si="4"/>
        <v>0</v>
      </c>
      <c r="AG65" s="1"/>
      <c r="AU65" s="296">
        <v>440</v>
      </c>
      <c r="BE65" s="2"/>
      <c r="BW65" s="1"/>
      <c r="CG65" s="2"/>
      <c r="CK65" s="1"/>
      <c r="CL65" s="4"/>
      <c r="CM65" s="4"/>
      <c r="CN65" s="4"/>
      <c r="CO65" s="4"/>
      <c r="CP65" s="4"/>
      <c r="CQ65" s="4"/>
      <c r="CR65" s="4"/>
      <c r="CS65" s="4"/>
      <c r="CT65" s="4"/>
      <c r="CU65" s="2"/>
      <c r="CY65" s="1"/>
      <c r="DI65" s="2"/>
    </row>
    <row r="66" spans="1:115" x14ac:dyDescent="0.35">
      <c r="A66" s="127" t="s">
        <v>346</v>
      </c>
      <c r="B66" s="29" t="s">
        <v>711</v>
      </c>
      <c r="C66" s="30">
        <v>420</v>
      </c>
      <c r="D66" s="49"/>
      <c r="E66" s="4"/>
      <c r="F66" s="4"/>
      <c r="G66" s="4"/>
      <c r="H66" s="4"/>
      <c r="I66" s="4"/>
      <c r="J66" s="4"/>
      <c r="K66" s="2"/>
      <c r="L66" s="4"/>
      <c r="M66" s="4"/>
      <c r="N66" s="4"/>
      <c r="O66" s="4"/>
      <c r="P66" s="4"/>
      <c r="Q66" s="4"/>
      <c r="S66" s="228">
        <v>450</v>
      </c>
      <c r="T66" s="4"/>
      <c r="U66" s="4">
        <f t="shared" si="1"/>
        <v>0</v>
      </c>
      <c r="V66" s="4"/>
      <c r="W66" s="173">
        <f t="shared" si="2"/>
        <v>0</v>
      </c>
      <c r="X66" s="4"/>
      <c r="Y66" s="173">
        <f t="shared" si="3"/>
        <v>0</v>
      </c>
      <c r="Z66" s="4"/>
      <c r="AA66" s="173">
        <f t="shared" si="4"/>
        <v>0</v>
      </c>
      <c r="AB66" s="4"/>
      <c r="AC66" s="174">
        <f t="shared" si="4"/>
        <v>0</v>
      </c>
      <c r="AG66" s="228">
        <v>450</v>
      </c>
      <c r="AH66" s="4"/>
      <c r="AI66" s="4">
        <f t="shared" si="5"/>
        <v>0</v>
      </c>
      <c r="AJ66" s="4"/>
      <c r="AK66" s="173">
        <f t="shared" si="6"/>
        <v>0</v>
      </c>
      <c r="AL66" s="4"/>
      <c r="AM66" s="173">
        <f t="shared" si="7"/>
        <v>0</v>
      </c>
      <c r="AN66" s="4"/>
      <c r="AO66" s="173">
        <f t="shared" si="8"/>
        <v>0</v>
      </c>
      <c r="AP66" s="4"/>
      <c r="AQ66" s="174">
        <f t="shared" si="9"/>
        <v>0</v>
      </c>
      <c r="AU66" s="228">
        <v>450</v>
      </c>
      <c r="AV66" s="4"/>
      <c r="AW66" s="4">
        <f t="shared" si="10"/>
        <v>0</v>
      </c>
      <c r="AX66" s="4"/>
      <c r="AY66" s="173">
        <f t="shared" si="11"/>
        <v>0</v>
      </c>
      <c r="AZ66" s="4"/>
      <c r="BA66" s="173">
        <f t="shared" si="12"/>
        <v>0</v>
      </c>
      <c r="BB66" s="4"/>
      <c r="BC66" s="173">
        <f t="shared" si="13"/>
        <v>0</v>
      </c>
      <c r="BD66" s="4"/>
      <c r="BE66" s="174">
        <f t="shared" si="14"/>
        <v>0</v>
      </c>
      <c r="BI66" s="228">
        <v>450</v>
      </c>
      <c r="BJ66" s="4"/>
      <c r="BK66" s="4">
        <f t="shared" si="15"/>
        <v>0</v>
      </c>
      <c r="BL66" s="4"/>
      <c r="BM66" s="173">
        <f t="shared" si="16"/>
        <v>0</v>
      </c>
      <c r="BN66" s="4"/>
      <c r="BO66" s="173">
        <f t="shared" si="17"/>
        <v>0</v>
      </c>
      <c r="BP66" s="4"/>
      <c r="BQ66" s="173">
        <f t="shared" si="18"/>
        <v>0</v>
      </c>
      <c r="BR66" s="4"/>
      <c r="BS66" s="174">
        <f t="shared" si="19"/>
        <v>0</v>
      </c>
      <c r="BW66" s="228">
        <v>450</v>
      </c>
      <c r="BX66" s="4"/>
      <c r="BY66" s="4">
        <f t="shared" si="20"/>
        <v>0</v>
      </c>
      <c r="BZ66" s="4"/>
      <c r="CA66" s="173">
        <f t="shared" si="21"/>
        <v>0</v>
      </c>
      <c r="CB66" s="4"/>
      <c r="CC66" s="173">
        <f t="shared" si="32"/>
        <v>0</v>
      </c>
      <c r="CD66" s="4"/>
      <c r="CE66" s="173">
        <f t="shared" si="22"/>
        <v>0</v>
      </c>
      <c r="CF66" s="4"/>
      <c r="CG66" s="174">
        <f t="shared" si="23"/>
        <v>0</v>
      </c>
      <c r="CK66" s="228">
        <v>450</v>
      </c>
      <c r="CL66" s="4"/>
      <c r="CM66" s="173">
        <f t="shared" si="24"/>
        <v>0</v>
      </c>
      <c r="CN66" s="173"/>
      <c r="CO66" s="173">
        <f t="shared" si="25"/>
        <v>0</v>
      </c>
      <c r="CP66" s="4"/>
      <c r="CQ66" s="173">
        <f t="shared" si="33"/>
        <v>0</v>
      </c>
      <c r="CR66" s="4"/>
      <c r="CS66" s="173">
        <f t="shared" si="26"/>
        <v>0</v>
      </c>
      <c r="CT66" s="4"/>
      <c r="CU66" s="174">
        <f t="shared" si="27"/>
        <v>0</v>
      </c>
      <c r="CY66" s="228">
        <v>450</v>
      </c>
      <c r="CZ66" s="4"/>
      <c r="DA66" s="4">
        <f t="shared" si="28"/>
        <v>0</v>
      </c>
      <c r="DB66" s="4"/>
      <c r="DC66" s="173">
        <f t="shared" si="29"/>
        <v>0</v>
      </c>
      <c r="DD66" s="4"/>
      <c r="DE66" s="173">
        <f t="shared" si="34"/>
        <v>0</v>
      </c>
      <c r="DF66" s="4"/>
      <c r="DG66" s="173">
        <f t="shared" si="30"/>
        <v>0</v>
      </c>
      <c r="DH66" s="4"/>
      <c r="DI66" s="174">
        <f t="shared" si="31"/>
        <v>0</v>
      </c>
    </row>
    <row r="67" spans="1:115" x14ac:dyDescent="0.35">
      <c r="A67" s="127" t="s">
        <v>348</v>
      </c>
      <c r="B67" s="29" t="s">
        <v>712</v>
      </c>
      <c r="C67" s="30">
        <v>430</v>
      </c>
      <c r="D67" s="49"/>
      <c r="E67" s="4"/>
      <c r="F67" s="4"/>
      <c r="G67" s="4"/>
      <c r="H67" s="4"/>
      <c r="I67" s="4"/>
      <c r="J67" s="4"/>
      <c r="K67" s="2"/>
      <c r="L67" s="4"/>
      <c r="M67" s="4"/>
      <c r="N67" s="4"/>
      <c r="O67" s="4"/>
      <c r="P67" s="4"/>
      <c r="Q67" s="4"/>
      <c r="S67" s="228">
        <v>460</v>
      </c>
      <c r="T67" s="4"/>
      <c r="U67" s="4">
        <f t="shared" si="1"/>
        <v>0</v>
      </c>
      <c r="V67" s="4"/>
      <c r="W67" s="4">
        <f t="shared" si="2"/>
        <v>0</v>
      </c>
      <c r="X67" s="4"/>
      <c r="Y67" s="173">
        <f t="shared" si="3"/>
        <v>0</v>
      </c>
      <c r="Z67" s="4"/>
      <c r="AA67" s="4">
        <f t="shared" si="4"/>
        <v>0</v>
      </c>
      <c r="AB67" s="4"/>
      <c r="AC67" s="174">
        <f t="shared" si="4"/>
        <v>0</v>
      </c>
      <c r="AG67" s="228">
        <v>460</v>
      </c>
      <c r="AH67" s="4"/>
      <c r="AI67" s="4">
        <f t="shared" si="5"/>
        <v>0</v>
      </c>
      <c r="AJ67" s="4"/>
      <c r="AK67" s="4">
        <f t="shared" si="6"/>
        <v>0</v>
      </c>
      <c r="AL67" s="4"/>
      <c r="AM67" s="173">
        <f t="shared" si="7"/>
        <v>0</v>
      </c>
      <c r="AN67" s="4"/>
      <c r="AO67" s="4">
        <f t="shared" si="8"/>
        <v>0</v>
      </c>
      <c r="AP67" s="4"/>
      <c r="AQ67" s="174">
        <f t="shared" si="9"/>
        <v>0</v>
      </c>
      <c r="AU67" s="228">
        <v>460</v>
      </c>
      <c r="AV67" s="4"/>
      <c r="AW67" s="4">
        <f t="shared" si="10"/>
        <v>0</v>
      </c>
      <c r="AX67" s="4"/>
      <c r="AY67" s="4">
        <f t="shared" si="11"/>
        <v>0</v>
      </c>
      <c r="AZ67" s="4"/>
      <c r="BA67" s="173">
        <f t="shared" si="12"/>
        <v>0</v>
      </c>
      <c r="BB67" s="4"/>
      <c r="BC67" s="4">
        <f t="shared" si="13"/>
        <v>0</v>
      </c>
      <c r="BD67" s="4"/>
      <c r="BE67" s="174">
        <f t="shared" si="14"/>
        <v>0</v>
      </c>
      <c r="BI67" s="228">
        <v>460</v>
      </c>
      <c r="BJ67" s="4"/>
      <c r="BK67" s="4">
        <f t="shared" si="15"/>
        <v>0</v>
      </c>
      <c r="BL67" s="4"/>
      <c r="BM67" s="4">
        <f t="shared" si="16"/>
        <v>0</v>
      </c>
      <c r="BN67" s="4"/>
      <c r="BO67" s="173">
        <f t="shared" si="17"/>
        <v>0</v>
      </c>
      <c r="BP67" s="4"/>
      <c r="BQ67" s="4">
        <f t="shared" si="18"/>
        <v>0</v>
      </c>
      <c r="BR67" s="4"/>
      <c r="BS67" s="174">
        <f t="shared" si="19"/>
        <v>0</v>
      </c>
      <c r="BW67" s="228">
        <v>460</v>
      </c>
      <c r="BX67" s="4"/>
      <c r="BY67" s="4">
        <f t="shared" si="20"/>
        <v>0</v>
      </c>
      <c r="BZ67" s="4"/>
      <c r="CA67" s="4">
        <f t="shared" si="21"/>
        <v>0</v>
      </c>
      <c r="CB67" s="8"/>
      <c r="CC67" s="173">
        <f t="shared" si="32"/>
        <v>0</v>
      </c>
      <c r="CD67" s="4"/>
      <c r="CE67" s="4">
        <f t="shared" si="22"/>
        <v>0</v>
      </c>
      <c r="CF67" s="4"/>
      <c r="CG67" s="174">
        <f t="shared" si="23"/>
        <v>0</v>
      </c>
      <c r="CK67" s="228">
        <v>460</v>
      </c>
      <c r="CL67" s="4"/>
      <c r="CM67" s="173">
        <f t="shared" si="24"/>
        <v>0</v>
      </c>
      <c r="CN67" s="173"/>
      <c r="CO67" s="173">
        <f t="shared" si="25"/>
        <v>0</v>
      </c>
      <c r="CP67" s="8"/>
      <c r="CQ67" s="173">
        <f t="shared" si="33"/>
        <v>0</v>
      </c>
      <c r="CR67" s="4"/>
      <c r="CS67" s="173">
        <f t="shared" si="26"/>
        <v>0</v>
      </c>
      <c r="CT67" s="4"/>
      <c r="CU67" s="174">
        <f t="shared" si="27"/>
        <v>0</v>
      </c>
      <c r="CY67" s="228">
        <v>460</v>
      </c>
      <c r="CZ67" s="4"/>
      <c r="DA67" s="4">
        <f t="shared" si="28"/>
        <v>0</v>
      </c>
      <c r="DB67" s="4"/>
      <c r="DC67" s="4">
        <f t="shared" si="29"/>
        <v>0</v>
      </c>
      <c r="DD67" s="8"/>
      <c r="DE67" s="173">
        <f t="shared" si="34"/>
        <v>0</v>
      </c>
      <c r="DF67" s="4"/>
      <c r="DG67" s="4">
        <f t="shared" si="30"/>
        <v>0</v>
      </c>
      <c r="DH67" s="4"/>
      <c r="DI67" s="174">
        <f t="shared" si="31"/>
        <v>0</v>
      </c>
    </row>
    <row r="68" spans="1:115" x14ac:dyDescent="0.35">
      <c r="A68" s="127" t="s">
        <v>350</v>
      </c>
      <c r="B68" s="29" t="s">
        <v>713</v>
      </c>
      <c r="C68" s="30">
        <v>440</v>
      </c>
      <c r="D68" s="49"/>
      <c r="E68" s="4"/>
      <c r="F68" s="4"/>
      <c r="G68" s="4"/>
      <c r="H68" s="4"/>
      <c r="I68" s="4"/>
      <c r="J68" s="4"/>
      <c r="K68" s="2"/>
      <c r="L68" s="4"/>
      <c r="M68" s="4"/>
      <c r="N68" s="4"/>
      <c r="O68" s="4"/>
      <c r="P68" s="4"/>
      <c r="Q68" s="4"/>
      <c r="S68" s="228">
        <v>470</v>
      </c>
      <c r="T68" s="4">
        <v>287.35000000000002</v>
      </c>
      <c r="U68" s="4">
        <f t="shared" si="1"/>
        <v>287.35000000000002</v>
      </c>
      <c r="V68" s="4">
        <v>273.86</v>
      </c>
      <c r="W68" s="4">
        <f t="shared" si="2"/>
        <v>273.86</v>
      </c>
      <c r="X68" s="4">
        <v>260.24</v>
      </c>
      <c r="Y68" s="4">
        <f>X68-X67</f>
        <v>260.24</v>
      </c>
      <c r="Z68" s="4">
        <v>246.49</v>
      </c>
      <c r="AA68" s="4">
        <f t="shared" si="4"/>
        <v>246.49</v>
      </c>
      <c r="AB68" s="4">
        <v>232.61</v>
      </c>
      <c r="AC68" s="2">
        <f t="shared" si="4"/>
        <v>232.61</v>
      </c>
      <c r="AG68" s="228">
        <v>470</v>
      </c>
      <c r="AH68" s="4">
        <v>194.3</v>
      </c>
      <c r="AI68" s="4">
        <f t="shared" si="5"/>
        <v>194.3</v>
      </c>
      <c r="AJ68" s="4">
        <v>179.98</v>
      </c>
      <c r="AK68" s="4">
        <f t="shared" si="6"/>
        <v>179.98</v>
      </c>
      <c r="AL68" s="8">
        <v>165.52</v>
      </c>
      <c r="AM68" s="4">
        <f t="shared" si="7"/>
        <v>165.52</v>
      </c>
      <c r="AN68" s="4">
        <v>150.93</v>
      </c>
      <c r="AO68" s="4">
        <f t="shared" si="8"/>
        <v>150.93</v>
      </c>
      <c r="AP68" s="4">
        <v>136.19</v>
      </c>
      <c r="AQ68" s="2">
        <f t="shared" si="9"/>
        <v>136.19</v>
      </c>
      <c r="AU68" s="228">
        <v>470</v>
      </c>
      <c r="AV68" s="4">
        <v>284.13</v>
      </c>
      <c r="AW68" s="4">
        <f t="shared" si="10"/>
        <v>284.13</v>
      </c>
      <c r="AX68" s="4">
        <v>270.07</v>
      </c>
      <c r="AY68" s="4">
        <f t="shared" si="11"/>
        <v>270.07</v>
      </c>
      <c r="AZ68" s="4">
        <v>257.13</v>
      </c>
      <c r="BA68" s="4">
        <f t="shared" si="12"/>
        <v>257.13</v>
      </c>
      <c r="BB68" s="4">
        <v>243.43</v>
      </c>
      <c r="BC68" s="4">
        <f t="shared" si="13"/>
        <v>243.43</v>
      </c>
      <c r="BD68" s="4">
        <v>229.59</v>
      </c>
      <c r="BE68" s="2">
        <f t="shared" si="14"/>
        <v>229.59</v>
      </c>
      <c r="BI68" s="228">
        <v>470</v>
      </c>
      <c r="BJ68" s="4">
        <v>190.89</v>
      </c>
      <c r="BK68" s="4">
        <f t="shared" si="15"/>
        <v>190.89</v>
      </c>
      <c r="BL68" s="4">
        <v>176.57</v>
      </c>
      <c r="BM68" s="4">
        <f t="shared" si="16"/>
        <v>176.57</v>
      </c>
      <c r="BN68" s="4">
        <v>162.12</v>
      </c>
      <c r="BO68" s="4">
        <f t="shared" si="17"/>
        <v>162.12</v>
      </c>
      <c r="BP68" s="4">
        <v>147.52000000000001</v>
      </c>
      <c r="BQ68" s="4">
        <f t="shared" si="18"/>
        <v>147.52000000000001</v>
      </c>
      <c r="BR68" s="4">
        <v>132.78</v>
      </c>
      <c r="BS68" s="2">
        <f t="shared" si="19"/>
        <v>132.78</v>
      </c>
      <c r="BW68" s="228">
        <v>470</v>
      </c>
      <c r="BX68" s="4">
        <v>290.31</v>
      </c>
      <c r="BY68" s="4">
        <f t="shared" si="20"/>
        <v>290.31</v>
      </c>
      <c r="BZ68" s="4">
        <v>276.87</v>
      </c>
      <c r="CA68" s="4">
        <f t="shared" si="21"/>
        <v>276.87</v>
      </c>
      <c r="CB68" s="8">
        <v>263.3</v>
      </c>
      <c r="CC68" s="4">
        <f t="shared" si="32"/>
        <v>263.3</v>
      </c>
      <c r="CD68" s="4">
        <v>249.61</v>
      </c>
      <c r="CE68" s="4">
        <f t="shared" si="22"/>
        <v>249.61</v>
      </c>
      <c r="CF68" s="4">
        <v>235.78</v>
      </c>
      <c r="CG68" s="2">
        <f t="shared" si="23"/>
        <v>235.78</v>
      </c>
      <c r="CK68" s="228">
        <v>470</v>
      </c>
      <c r="CL68" s="4">
        <v>244.88</v>
      </c>
      <c r="CM68" s="4">
        <f t="shared" si="24"/>
        <v>244.88</v>
      </c>
      <c r="CN68" s="4">
        <v>231.02</v>
      </c>
      <c r="CO68" s="4">
        <f t="shared" si="25"/>
        <v>231.02</v>
      </c>
      <c r="CP68" s="8">
        <v>217.04</v>
      </c>
      <c r="CQ68" s="4">
        <f t="shared" si="33"/>
        <v>217.04</v>
      </c>
      <c r="CR68" s="4">
        <v>202.92</v>
      </c>
      <c r="CS68" s="4">
        <f t="shared" si="26"/>
        <v>202.92</v>
      </c>
      <c r="CT68" s="4">
        <v>188.68</v>
      </c>
      <c r="CU68" s="2">
        <f t="shared" si="27"/>
        <v>188.68</v>
      </c>
      <c r="CY68" s="228">
        <v>470</v>
      </c>
      <c r="CZ68" s="4">
        <v>198.12</v>
      </c>
      <c r="DA68" s="4">
        <f t="shared" si="28"/>
        <v>198.12</v>
      </c>
      <c r="DB68" s="4">
        <v>183.84</v>
      </c>
      <c r="DC68" s="4">
        <f t="shared" si="29"/>
        <v>183.84</v>
      </c>
      <c r="DD68" s="8">
        <v>169.43</v>
      </c>
      <c r="DE68" s="4">
        <f t="shared" si="34"/>
        <v>169.43</v>
      </c>
      <c r="DF68" s="4">
        <v>154.88</v>
      </c>
      <c r="DG68" s="4">
        <f t="shared" si="30"/>
        <v>154.88</v>
      </c>
      <c r="DH68" s="4">
        <v>140.19999999999999</v>
      </c>
      <c r="DI68" s="2">
        <f t="shared" si="31"/>
        <v>140.19999999999999</v>
      </c>
    </row>
    <row r="69" spans="1:115" x14ac:dyDescent="0.35">
      <c r="A69" s="127" t="s">
        <v>352</v>
      </c>
      <c r="B69" s="29" t="s">
        <v>714</v>
      </c>
      <c r="C69" s="30">
        <v>450</v>
      </c>
      <c r="D69" s="49"/>
      <c r="E69" s="4"/>
      <c r="F69" s="4"/>
      <c r="G69" s="4"/>
      <c r="H69" s="4"/>
      <c r="I69" s="4"/>
      <c r="J69" s="4"/>
      <c r="K69" s="2"/>
      <c r="L69" s="4"/>
      <c r="M69" s="4"/>
      <c r="N69" s="4"/>
      <c r="O69" s="4"/>
      <c r="P69" s="4"/>
      <c r="Q69" s="4"/>
      <c r="S69" s="230">
        <v>480</v>
      </c>
      <c r="T69" s="5">
        <v>290.27999999999997</v>
      </c>
      <c r="U69" s="5">
        <f t="shared" si="1"/>
        <v>2.92999999999995</v>
      </c>
      <c r="V69" s="5">
        <v>276.79000000000002</v>
      </c>
      <c r="W69" s="5">
        <f t="shared" si="2"/>
        <v>2.9300000000000068</v>
      </c>
      <c r="X69" s="5">
        <v>263.16000000000003</v>
      </c>
      <c r="Y69" s="5">
        <f t="shared" si="3"/>
        <v>2.9200000000000159</v>
      </c>
      <c r="Z69" s="5">
        <v>249.41</v>
      </c>
      <c r="AA69" s="5">
        <f t="shared" si="4"/>
        <v>2.9199999999999875</v>
      </c>
      <c r="AB69" s="5">
        <v>235.53</v>
      </c>
      <c r="AC69" s="3">
        <f t="shared" si="4"/>
        <v>2.9199999999999875</v>
      </c>
      <c r="AG69" s="230">
        <v>480</v>
      </c>
      <c r="AH69" s="5">
        <v>197.25</v>
      </c>
      <c r="AI69" s="5">
        <f t="shared" si="5"/>
        <v>2.9499999999999886</v>
      </c>
      <c r="AJ69" s="5">
        <v>182.93</v>
      </c>
      <c r="AK69" s="5">
        <f t="shared" si="6"/>
        <v>2.9500000000000171</v>
      </c>
      <c r="AL69" s="5">
        <v>168.49</v>
      </c>
      <c r="AM69" s="5">
        <f t="shared" si="7"/>
        <v>2.9699999999999989</v>
      </c>
      <c r="AN69" s="5">
        <v>153.91</v>
      </c>
      <c r="AO69" s="5">
        <f t="shared" si="8"/>
        <v>2.9799999999999898</v>
      </c>
      <c r="AP69" s="5">
        <v>139.19999999999999</v>
      </c>
      <c r="AQ69" s="3">
        <f t="shared" si="9"/>
        <v>3.0099999999999909</v>
      </c>
      <c r="AU69" s="230">
        <v>480</v>
      </c>
      <c r="AV69" s="5">
        <v>287.22000000000003</v>
      </c>
      <c r="AW69" s="5">
        <f t="shared" si="10"/>
        <v>3.0900000000000318</v>
      </c>
      <c r="AX69" s="5">
        <v>273.79000000000002</v>
      </c>
      <c r="AY69" s="5">
        <f t="shared" si="11"/>
        <v>3.7200000000000273</v>
      </c>
      <c r="AZ69" s="5">
        <v>260.22000000000003</v>
      </c>
      <c r="BA69" s="5">
        <f t="shared" si="12"/>
        <v>3.0900000000000318</v>
      </c>
      <c r="BB69" s="5">
        <v>246.52</v>
      </c>
      <c r="BC69" s="5">
        <f t="shared" si="13"/>
        <v>3.0900000000000034</v>
      </c>
      <c r="BD69" s="5">
        <v>232.69</v>
      </c>
      <c r="BE69" s="3">
        <f t="shared" si="14"/>
        <v>3.0999999999999943</v>
      </c>
      <c r="BI69" s="230">
        <v>480</v>
      </c>
      <c r="BJ69" s="5">
        <v>194.01</v>
      </c>
      <c r="BK69" s="5">
        <f t="shared" si="15"/>
        <v>3.1200000000000045</v>
      </c>
      <c r="BL69" s="5">
        <v>179.71</v>
      </c>
      <c r="BM69" s="5">
        <f t="shared" si="16"/>
        <v>3.1400000000000148</v>
      </c>
      <c r="BN69" s="5">
        <v>165.27</v>
      </c>
      <c r="BO69" s="5">
        <f t="shared" si="17"/>
        <v>3.1500000000000057</v>
      </c>
      <c r="BP69" s="5">
        <v>150.69999999999999</v>
      </c>
      <c r="BQ69" s="5">
        <f t="shared" si="18"/>
        <v>3.1799999999999784</v>
      </c>
      <c r="BR69" s="5">
        <v>135.97999999999999</v>
      </c>
      <c r="BS69" s="3">
        <f t="shared" si="19"/>
        <v>3.1999999999999886</v>
      </c>
      <c r="BW69" s="230">
        <v>480</v>
      </c>
      <c r="BX69" s="5">
        <v>293.25</v>
      </c>
      <c r="BY69" s="5">
        <f t="shared" si="20"/>
        <v>2.9399999999999977</v>
      </c>
      <c r="BZ69" s="5">
        <v>279.8</v>
      </c>
      <c r="CA69" s="5">
        <f t="shared" si="21"/>
        <v>2.9300000000000068</v>
      </c>
      <c r="CB69" s="5">
        <v>266.23</v>
      </c>
      <c r="CC69" s="5">
        <f t="shared" si="32"/>
        <v>2.9300000000000068</v>
      </c>
      <c r="CD69" s="5">
        <v>252.53</v>
      </c>
      <c r="CE69" s="5">
        <f t="shared" si="22"/>
        <v>2.9199999999999875</v>
      </c>
      <c r="CF69" s="5">
        <v>238.7</v>
      </c>
      <c r="CG69" s="3">
        <f t="shared" si="23"/>
        <v>2.9199999999999875</v>
      </c>
      <c r="CK69" s="230">
        <v>480</v>
      </c>
      <c r="CL69" s="5">
        <v>247.8</v>
      </c>
      <c r="CM69" s="5">
        <f t="shared" si="24"/>
        <v>2.9200000000000159</v>
      </c>
      <c r="CN69" s="5">
        <v>233.95</v>
      </c>
      <c r="CO69" s="5">
        <f t="shared" si="25"/>
        <v>2.9299999999999784</v>
      </c>
      <c r="CP69" s="5">
        <v>219.97</v>
      </c>
      <c r="CQ69" s="5">
        <f t="shared" si="33"/>
        <v>2.9300000000000068</v>
      </c>
      <c r="CR69" s="5">
        <v>205.86</v>
      </c>
      <c r="CS69" s="5">
        <f t="shared" si="26"/>
        <v>2.9400000000000261</v>
      </c>
      <c r="CT69" s="5">
        <v>191.63</v>
      </c>
      <c r="CU69" s="3">
        <f t="shared" si="27"/>
        <v>2.9499999999999886</v>
      </c>
      <c r="CY69" s="230">
        <v>480</v>
      </c>
      <c r="CZ69" s="5">
        <v>201.06</v>
      </c>
      <c r="DA69" s="5">
        <f t="shared" si="28"/>
        <v>2.9399999999999977</v>
      </c>
      <c r="DB69" s="5">
        <v>186.79</v>
      </c>
      <c r="DC69" s="5">
        <f t="shared" si="29"/>
        <v>2.9499999999999886</v>
      </c>
      <c r="DD69" s="5">
        <v>172.39</v>
      </c>
      <c r="DE69" s="5">
        <f t="shared" si="34"/>
        <v>2.9599999999999795</v>
      </c>
      <c r="DF69" s="5">
        <v>157.86000000000001</v>
      </c>
      <c r="DG69" s="5">
        <f t="shared" si="30"/>
        <v>2.9800000000000182</v>
      </c>
      <c r="DH69" s="5">
        <v>143.19999999999999</v>
      </c>
      <c r="DI69" s="3">
        <f t="shared" si="31"/>
        <v>3</v>
      </c>
    </row>
    <row r="70" spans="1:115" x14ac:dyDescent="0.35">
      <c r="A70" s="127" t="s">
        <v>354</v>
      </c>
      <c r="B70" s="29" t="s">
        <v>715</v>
      </c>
      <c r="C70" s="30">
        <v>460</v>
      </c>
      <c r="D70" s="49"/>
      <c r="E70" s="4"/>
      <c r="F70" s="4"/>
      <c r="G70" s="4"/>
      <c r="H70" s="4"/>
      <c r="I70" s="4"/>
      <c r="J70" s="4"/>
      <c r="K70" s="2"/>
      <c r="L70" s="4"/>
      <c r="M70" s="4"/>
      <c r="N70" s="4"/>
      <c r="O70" s="4"/>
      <c r="P70" s="4"/>
      <c r="Q70" s="4"/>
      <c r="S70" s="83" t="s">
        <v>781</v>
      </c>
      <c r="U70" s="227">
        <f>(T69-T50)/19</f>
        <v>2.9436842105263148</v>
      </c>
      <c r="V70" s="22"/>
      <c r="W70" s="227">
        <f>(V69-V50)/19</f>
        <v>2.9326315789473698</v>
      </c>
      <c r="X70" s="22"/>
      <c r="Y70" s="227">
        <f>(X69-X50)/19</f>
        <v>2.9257894736842123</v>
      </c>
      <c r="Z70" s="22"/>
      <c r="AA70" s="227">
        <f>(Z69-Z50)/19</f>
        <v>2.9236842105263148</v>
      </c>
      <c r="AB70" s="22"/>
      <c r="AC70" s="231">
        <f>(AB69-AB50)/19</f>
        <v>2.9257894736842105</v>
      </c>
      <c r="AD70" s="232">
        <f>(AC70+AA70+Y70+W70+U70)/5</f>
        <v>2.930315789473684</v>
      </c>
      <c r="AE70" t="s">
        <v>440</v>
      </c>
      <c r="AG70" s="83" t="s">
        <v>781</v>
      </c>
      <c r="AI70" s="227">
        <f>(AH69-AH50)/19</f>
        <v>2.9547368421052624</v>
      </c>
      <c r="AJ70" s="22"/>
      <c r="AK70" s="227">
        <f>(AJ69-AJ50)/19</f>
        <v>2.9736842105263159</v>
      </c>
      <c r="AL70" s="22"/>
      <c r="AM70" s="227">
        <f>(AL69-AL50)/19</f>
        <v>2.9984210526315795</v>
      </c>
      <c r="AN70" s="22"/>
      <c r="AO70" s="227">
        <f>(AN69-AN50)/19</f>
        <v>3.0278947368421054</v>
      </c>
      <c r="AP70" s="22"/>
      <c r="AQ70" s="231">
        <f>(AP69-AP50)/19</f>
        <v>3.0642105263157888</v>
      </c>
      <c r="AR70" s="232">
        <f>(AQ70+AO70+AM70+AK70+AI70)/5</f>
        <v>3.0037894736842103</v>
      </c>
      <c r="AS70" t="s">
        <v>440</v>
      </c>
      <c r="AU70" s="83" t="s">
        <v>781</v>
      </c>
      <c r="AW70" s="227">
        <f>(AV69-AV50)/19</f>
        <v>3.1010526315789484</v>
      </c>
      <c r="AX70" s="22"/>
      <c r="AY70" s="227">
        <f>(AX69-AX50)/19</f>
        <v>3.0936842105263174</v>
      </c>
      <c r="AZ70" s="22"/>
      <c r="BA70" s="227">
        <f>(AZ69-AZ50)/19</f>
        <v>3.0900000000000021</v>
      </c>
      <c r="BB70" s="22"/>
      <c r="BC70" s="227">
        <f>(BB69-BB50)/19</f>
        <v>3.0915789473684216</v>
      </c>
      <c r="BD70" s="22"/>
      <c r="BE70" s="231">
        <f>(BD69-BD50)/19</f>
        <v>3.0973684210526313</v>
      </c>
      <c r="BF70" s="232">
        <f>(BE70+BC70+BA70+AY70+AW70)/5</f>
        <v>3.0947368421052639</v>
      </c>
      <c r="BG70" t="s">
        <v>440</v>
      </c>
      <c r="BI70" s="83" t="s">
        <v>781</v>
      </c>
      <c r="BK70" s="227">
        <f>(BJ69-BJ50)/19</f>
        <v>3.1384210526315788</v>
      </c>
      <c r="BL70" s="22"/>
      <c r="BM70" s="227">
        <f>(BL69-BL50)/19</f>
        <v>3.1631578947368424</v>
      </c>
      <c r="BN70" s="22"/>
      <c r="BO70" s="227">
        <f>(BN69-BN50)/19</f>
        <v>3.1926315789473692</v>
      </c>
      <c r="BP70" s="22"/>
      <c r="BQ70" s="227">
        <f>(BP69-BP50)/19</f>
        <v>3.2294736842105256</v>
      </c>
      <c r="BR70" s="22"/>
      <c r="BS70" s="231">
        <f>(BR69-BR50)/19</f>
        <v>3.2726315789473679</v>
      </c>
      <c r="BT70" s="232">
        <f>(BS70+BQ70+BO70+BM70+BK70)/5</f>
        <v>3.1992631578947366</v>
      </c>
      <c r="BU70" t="s">
        <v>440</v>
      </c>
      <c r="BW70" s="83" t="s">
        <v>781</v>
      </c>
      <c r="BY70" s="227">
        <f>(BX69-BX50)/19</f>
        <v>2.9468421052631584</v>
      </c>
      <c r="BZ70" s="22"/>
      <c r="CA70" s="227">
        <f>(BZ69-BZ50)/19</f>
        <v>2.9342105263157894</v>
      </c>
      <c r="CB70" s="22"/>
      <c r="CC70" s="227">
        <f>(CB69-CB50)/19</f>
        <v>2.9268421052631588</v>
      </c>
      <c r="CD70" s="22"/>
      <c r="CE70" s="227">
        <f>(CD69-CD50)/19</f>
        <v>2.9236842105263166</v>
      </c>
      <c r="CF70" s="22"/>
      <c r="CG70" s="231">
        <f>(CF69-CF50)/19</f>
        <v>2.9247368421052626</v>
      </c>
      <c r="CH70" s="232">
        <f>(CG70+CE70+CC70+CA70+BY70)/5</f>
        <v>2.9312631578947372</v>
      </c>
      <c r="CI70" t="s">
        <v>440</v>
      </c>
      <c r="CK70" s="83" t="s">
        <v>781</v>
      </c>
      <c r="CM70" s="227">
        <f>(CL69-CL50)/19</f>
        <v>2.9236842105263166</v>
      </c>
      <c r="CN70" s="22"/>
      <c r="CO70" s="227">
        <f>(CN69-CN50)/19</f>
        <v>2.926315789473684</v>
      </c>
      <c r="CP70" s="22"/>
      <c r="CQ70" s="227">
        <f>(CP69-CP50)/19</f>
        <v>2.9336842105263163</v>
      </c>
      <c r="CR70" s="22"/>
      <c r="CS70" s="227">
        <f>(CR69-CR50)/19</f>
        <v>2.9452631578947375</v>
      </c>
      <c r="CT70" s="22"/>
      <c r="CU70" s="231">
        <f>(CT69-CT50)/19</f>
        <v>2.96157894736842</v>
      </c>
      <c r="CV70" s="232">
        <f>(CU70+CS70+CQ70+CO70+CM70)/5</f>
        <v>2.9381052631578948</v>
      </c>
      <c r="CW70" t="s">
        <v>440</v>
      </c>
      <c r="CY70" s="83" t="s">
        <v>781</v>
      </c>
      <c r="DA70" s="227">
        <f>(CZ69-CZ50)/19</f>
        <v>2.9505263157894737</v>
      </c>
      <c r="DB70" s="22"/>
      <c r="DC70" s="227">
        <f>(DB69-DB50)/19</f>
        <v>2.9684210526315793</v>
      </c>
      <c r="DD70" s="22"/>
      <c r="DE70" s="227">
        <f>(DD69-DD50)/19</f>
        <v>2.9910526315789467</v>
      </c>
      <c r="DF70" s="22"/>
      <c r="DG70" s="227">
        <f>(DF69-DF50)/19</f>
        <v>3.0194736842105274</v>
      </c>
      <c r="DH70" s="22"/>
      <c r="DI70" s="231">
        <f>(DH69-DH50)/19</f>
        <v>3.0536842105263147</v>
      </c>
      <c r="DJ70" s="232">
        <f>(DI70+DG70+DE70+DC70+DA70)/5</f>
        <v>2.9966315789473681</v>
      </c>
      <c r="DK70" t="s">
        <v>440</v>
      </c>
    </row>
    <row r="71" spans="1:115" x14ac:dyDescent="0.35">
      <c r="A71" s="127" t="s">
        <v>356</v>
      </c>
      <c r="B71" s="29" t="s">
        <v>716</v>
      </c>
      <c r="C71" s="30">
        <v>470</v>
      </c>
      <c r="D71" s="49"/>
      <c r="E71" s="4"/>
      <c r="F71" s="4"/>
      <c r="G71" s="4"/>
      <c r="H71" s="4"/>
      <c r="I71" s="4"/>
      <c r="J71" s="4"/>
      <c r="K71" s="2"/>
      <c r="L71" s="4"/>
      <c r="M71" s="4"/>
      <c r="N71" s="4"/>
      <c r="O71" s="4"/>
      <c r="P71" s="4"/>
      <c r="Q71" s="4"/>
      <c r="U71" s="226">
        <f>T69-V69</f>
        <v>13.489999999999952</v>
      </c>
      <c r="W71" s="226">
        <f>V69-X69</f>
        <v>13.629999999999995</v>
      </c>
      <c r="Y71" s="226">
        <f>X69-Z69</f>
        <v>13.750000000000028</v>
      </c>
      <c r="AA71" s="226">
        <f>Z69-AB69</f>
        <v>13.879999999999995</v>
      </c>
      <c r="AD71" s="233">
        <f>(U49+W49+Y49+AA49+U71+W71+Y71+AA71)/8</f>
        <v>13.644999999999996</v>
      </c>
      <c r="AE71" t="s">
        <v>637</v>
      </c>
      <c r="AI71" s="226">
        <f>AH69-AJ69</f>
        <v>14.319999999999993</v>
      </c>
      <c r="AK71" s="226">
        <f>AJ69-AL69</f>
        <v>14.439999999999998</v>
      </c>
      <c r="AM71" s="226">
        <f>AL69-AN69</f>
        <v>14.580000000000013</v>
      </c>
      <c r="AO71" s="226">
        <f>AN69-AP69</f>
        <v>14.710000000000008</v>
      </c>
      <c r="AR71" s="233">
        <f>(AI49+AK49+AM49+AO49+AI71+AK71+AM71+AO71)/8</f>
        <v>14.772500000000003</v>
      </c>
      <c r="AS71" t="s">
        <v>637</v>
      </c>
      <c r="AW71" s="226">
        <f>AV69-AX69</f>
        <v>13.430000000000007</v>
      </c>
      <c r="AY71" s="226">
        <f>AX69-AZ69</f>
        <v>13.569999999999993</v>
      </c>
      <c r="BA71" s="226">
        <f>AZ69-BB69</f>
        <v>13.700000000000017</v>
      </c>
      <c r="BC71" s="226">
        <f>BB69-BD69</f>
        <v>13.830000000000013</v>
      </c>
      <c r="BF71" s="233">
        <f>(AW49+AY49+BA49+BC49+AW71+AY71+BA71+BC71)/8</f>
        <v>13.623750000000005</v>
      </c>
      <c r="BG71" t="s">
        <v>637</v>
      </c>
      <c r="BK71" s="226">
        <f>BJ69-BL69</f>
        <v>14.299999999999983</v>
      </c>
      <c r="BM71" s="226">
        <f>BL69-BN69</f>
        <v>14.439999999999998</v>
      </c>
      <c r="BO71" s="226">
        <f>BN69-BP69</f>
        <v>14.570000000000022</v>
      </c>
      <c r="BQ71" s="226">
        <f>BP69-BR69</f>
        <v>14.719999999999999</v>
      </c>
      <c r="BT71" s="233">
        <f>(BK49+BM49+BO49+BQ49+BK71+BM71+BO71+BQ71)/8</f>
        <v>14.82625</v>
      </c>
      <c r="BU71" t="s">
        <v>637</v>
      </c>
      <c r="BY71" s="226">
        <f>BX69-BZ69</f>
        <v>13.449999999999989</v>
      </c>
      <c r="CA71" s="226">
        <f>BZ69-CB69</f>
        <v>13.569999999999993</v>
      </c>
      <c r="CC71" s="226">
        <f>CB69-CD69</f>
        <v>13.700000000000017</v>
      </c>
      <c r="CE71" s="226">
        <f>CD69-CF69</f>
        <v>13.830000000000013</v>
      </c>
      <c r="CH71" s="233">
        <f>(BY49+CA49+CC49+CE49+BY71+CA71+CC71+CE71)/8</f>
        <v>13.585000000000001</v>
      </c>
      <c r="CI71" t="s">
        <v>637</v>
      </c>
      <c r="CL71">
        <f>CL69-BX69</f>
        <v>-45.449999999999989</v>
      </c>
      <c r="CM71" s="226">
        <f>CL69-CN69</f>
        <v>13.850000000000023</v>
      </c>
      <c r="CN71">
        <f>CN69-BZ69</f>
        <v>-45.850000000000023</v>
      </c>
      <c r="CO71" s="226">
        <f>CN69-CP69</f>
        <v>13.97999999999999</v>
      </c>
      <c r="CP71">
        <f>CP69-CB69</f>
        <v>-46.260000000000019</v>
      </c>
      <c r="CQ71" s="226">
        <f>CP69-CR69</f>
        <v>14.109999999999985</v>
      </c>
      <c r="CR71">
        <f>CR69-CD69</f>
        <v>-46.669999999999987</v>
      </c>
      <c r="CS71" s="226">
        <f>CR69-CT69</f>
        <v>14.230000000000018</v>
      </c>
      <c r="CT71">
        <f>CT69-CF69</f>
        <v>-47.069999999999993</v>
      </c>
      <c r="CV71" s="233">
        <f>(CM49+CO49+CQ49+CS49+CM71+CO71+CQ71+CS71)/8</f>
        <v>14.1325</v>
      </c>
      <c r="CW71" t="s">
        <v>637</v>
      </c>
      <c r="CZ71">
        <f>CZ69-BX69</f>
        <v>-92.19</v>
      </c>
      <c r="DA71" s="226">
        <f>CZ69-DB69</f>
        <v>14.27000000000001</v>
      </c>
      <c r="DB71">
        <f>DB69-BZ69</f>
        <v>-93.010000000000019</v>
      </c>
      <c r="DC71" s="226">
        <f>DB69-DD69</f>
        <v>14.400000000000006</v>
      </c>
      <c r="DD71">
        <f>DD69-CB69</f>
        <v>-93.840000000000032</v>
      </c>
      <c r="DE71" s="226">
        <f>DD69-DF69</f>
        <v>14.529999999999973</v>
      </c>
      <c r="DF71">
        <f>DF69-CD69</f>
        <v>-94.669999999999987</v>
      </c>
      <c r="DG71" s="226">
        <f>DF69-DH69</f>
        <v>14.660000000000025</v>
      </c>
      <c r="DH71">
        <f>DH69-CF69</f>
        <v>-95.5</v>
      </c>
      <c r="DJ71" s="233">
        <f>(DA49+DC49+DE49+DG49+DA71+DC71+DE71+DG71)/8</f>
        <v>14.71</v>
      </c>
      <c r="DK71" t="s">
        <v>637</v>
      </c>
    </row>
    <row r="72" spans="1:115" x14ac:dyDescent="0.35">
      <c r="A72" s="127" t="s">
        <v>358</v>
      </c>
      <c r="B72" s="29" t="s">
        <v>717</v>
      </c>
      <c r="C72" s="30">
        <v>480</v>
      </c>
      <c r="D72" s="49"/>
      <c r="E72" s="4"/>
      <c r="F72" s="4"/>
      <c r="G72" s="4"/>
      <c r="H72" s="4"/>
      <c r="I72" s="4"/>
      <c r="J72" s="4"/>
      <c r="K72" s="2"/>
      <c r="L72" s="4"/>
      <c r="M72" s="4"/>
      <c r="N72" s="4"/>
      <c r="O72" s="4"/>
      <c r="P72" s="4"/>
      <c r="Q72" s="4"/>
      <c r="AD72">
        <f>AD71/15</f>
        <v>0.9096666666666664</v>
      </c>
      <c r="AR72">
        <f>AR71/15</f>
        <v>0.98483333333333356</v>
      </c>
      <c r="BF72">
        <f>BF71/15</f>
        <v>0.90825000000000033</v>
      </c>
      <c r="BT72">
        <f>BT71/15</f>
        <v>0.98841666666666661</v>
      </c>
      <c r="CH72">
        <f>CH71/15</f>
        <v>0.90566666666666673</v>
      </c>
      <c r="CV72">
        <f>CV71/15</f>
        <v>0.94216666666666671</v>
      </c>
      <c r="DJ72">
        <f>DJ71/15</f>
        <v>0.98066666666666669</v>
      </c>
    </row>
    <row r="73" spans="1:115" x14ac:dyDescent="0.35">
      <c r="A73" s="211" t="s">
        <v>573</v>
      </c>
      <c r="B73" s="34" t="s">
        <v>718</v>
      </c>
      <c r="C73" s="39">
        <v>490</v>
      </c>
      <c r="D73" s="50"/>
      <c r="E73" s="5"/>
      <c r="F73" s="5"/>
      <c r="G73" s="5"/>
      <c r="H73" s="5"/>
      <c r="I73" s="5"/>
      <c r="J73" s="5"/>
      <c r="K73" s="3"/>
      <c r="L73" s="4"/>
      <c r="M73" s="4"/>
      <c r="N73" s="4"/>
      <c r="O73" s="4"/>
      <c r="P73" s="4"/>
      <c r="Q73" s="4"/>
      <c r="S73" s="442" t="s">
        <v>780</v>
      </c>
      <c r="T73" s="443"/>
      <c r="U73" s="443"/>
      <c r="V73" s="443"/>
      <c r="W73" s="443"/>
      <c r="X73" s="443"/>
      <c r="Y73" s="443"/>
      <c r="Z73" s="443"/>
      <c r="AA73" s="443"/>
      <c r="AB73" s="443"/>
      <c r="AC73" s="444"/>
      <c r="AG73" s="442" t="s">
        <v>780</v>
      </c>
      <c r="AH73" s="443"/>
      <c r="AI73" s="443"/>
      <c r="AJ73" s="443"/>
      <c r="AK73" s="443"/>
      <c r="AL73" s="443"/>
      <c r="AM73" s="443"/>
      <c r="AN73" s="443"/>
      <c r="AO73" s="443"/>
      <c r="AP73" s="443"/>
      <c r="AQ73" s="444"/>
      <c r="AU73" s="430" t="s">
        <v>785</v>
      </c>
      <c r="AV73" s="431"/>
      <c r="AW73" s="431"/>
      <c r="AX73" s="431"/>
      <c r="AY73" s="431"/>
      <c r="AZ73" s="431"/>
      <c r="BA73" s="431"/>
      <c r="BB73" s="431"/>
      <c r="BC73" s="431"/>
      <c r="BD73" s="431"/>
      <c r="BE73" s="432"/>
      <c r="BI73" s="430" t="s">
        <v>785</v>
      </c>
      <c r="BJ73" s="431"/>
      <c r="BK73" s="431"/>
      <c r="BL73" s="431"/>
      <c r="BM73" s="431"/>
      <c r="BN73" s="431"/>
      <c r="BO73" s="431"/>
      <c r="BP73" s="431"/>
      <c r="BQ73" s="431"/>
      <c r="BR73" s="431"/>
      <c r="BS73" s="432"/>
      <c r="BW73" s="448" t="s">
        <v>800</v>
      </c>
      <c r="BX73" s="449"/>
      <c r="BY73" s="449"/>
      <c r="BZ73" s="449"/>
      <c r="CA73" s="449"/>
      <c r="CB73" s="449"/>
      <c r="CC73" s="449"/>
      <c r="CD73" s="449"/>
      <c r="CE73" s="449"/>
      <c r="CF73" s="449"/>
      <c r="CG73" s="450"/>
      <c r="CK73" s="448" t="s">
        <v>800</v>
      </c>
      <c r="CL73" s="449"/>
      <c r="CM73" s="449"/>
      <c r="CN73" s="449"/>
      <c r="CO73" s="449"/>
      <c r="CP73" s="449"/>
      <c r="CQ73" s="449"/>
      <c r="CR73" s="449"/>
      <c r="CS73" s="449"/>
      <c r="CT73" s="449"/>
      <c r="CU73" s="450"/>
    </row>
    <row r="74" spans="1:115" x14ac:dyDescent="0.35">
      <c r="A74" s="350" t="s">
        <v>360</v>
      </c>
      <c r="B74" s="351"/>
      <c r="C74" s="30" t="s">
        <v>440</v>
      </c>
      <c r="D74" s="49"/>
      <c r="E74" s="4"/>
      <c r="F74" s="4"/>
      <c r="G74" s="4"/>
      <c r="H74" s="4"/>
      <c r="I74" s="4"/>
      <c r="J74" s="4"/>
      <c r="K74" s="2"/>
      <c r="L74" s="4"/>
      <c r="M74" s="4"/>
      <c r="N74" s="4"/>
      <c r="O74" s="4"/>
      <c r="P74" s="4"/>
      <c r="Q74" s="4"/>
      <c r="S74" s="445" t="s">
        <v>849</v>
      </c>
      <c r="T74" s="446"/>
      <c r="U74" s="446"/>
      <c r="V74" s="446"/>
      <c r="W74" s="446"/>
      <c r="X74" s="446"/>
      <c r="Y74" s="446"/>
      <c r="Z74" s="446"/>
      <c r="AA74" s="446"/>
      <c r="AB74" s="446"/>
      <c r="AC74" s="447"/>
      <c r="AG74" s="445" t="s">
        <v>819</v>
      </c>
      <c r="AH74" s="446"/>
      <c r="AI74" s="446"/>
      <c r="AJ74" s="446"/>
      <c r="AK74" s="446"/>
      <c r="AL74" s="446"/>
      <c r="AM74" s="446"/>
      <c r="AN74" s="446"/>
      <c r="AO74" s="446"/>
      <c r="AP74" s="446"/>
      <c r="AQ74" s="447"/>
      <c r="AT74" s="8"/>
      <c r="AU74" s="433" t="s">
        <v>782</v>
      </c>
      <c r="AV74" s="434"/>
      <c r="AW74" s="434"/>
      <c r="AX74" s="434"/>
      <c r="AY74" s="434"/>
      <c r="AZ74" s="434"/>
      <c r="BA74" s="434"/>
      <c r="BB74" s="434"/>
      <c r="BC74" s="434"/>
      <c r="BD74" s="434"/>
      <c r="BE74" s="435"/>
      <c r="BI74" s="433" t="s">
        <v>782</v>
      </c>
      <c r="BJ74" s="434"/>
      <c r="BK74" s="434"/>
      <c r="BL74" s="434"/>
      <c r="BM74" s="434"/>
      <c r="BN74" s="434"/>
      <c r="BO74" s="434"/>
      <c r="BP74" s="434"/>
      <c r="BQ74" s="434"/>
      <c r="BR74" s="434"/>
      <c r="BS74" s="435"/>
      <c r="BW74" s="451" t="s">
        <v>782</v>
      </c>
      <c r="BX74" s="452"/>
      <c r="BY74" s="452"/>
      <c r="BZ74" s="452"/>
      <c r="CA74" s="452"/>
      <c r="CB74" s="452"/>
      <c r="CC74" s="452"/>
      <c r="CD74" s="452"/>
      <c r="CE74" s="452"/>
      <c r="CF74" s="452"/>
      <c r="CG74" s="453"/>
      <c r="CK74" s="451" t="s">
        <v>782</v>
      </c>
      <c r="CL74" s="452"/>
      <c r="CM74" s="452"/>
      <c r="CN74" s="452"/>
      <c r="CO74" s="452"/>
      <c r="CP74" s="452"/>
      <c r="CQ74" s="452"/>
      <c r="CR74" s="452"/>
      <c r="CS74" s="452"/>
      <c r="CT74" s="452"/>
      <c r="CU74" s="453"/>
    </row>
    <row r="75" spans="1:115" x14ac:dyDescent="0.35">
      <c r="A75" s="212" t="s">
        <v>584</v>
      </c>
      <c r="B75" s="29" t="s">
        <v>719</v>
      </c>
      <c r="C75" s="30">
        <v>290</v>
      </c>
      <c r="D75" s="49"/>
      <c r="E75" s="4"/>
      <c r="F75" s="4"/>
      <c r="G75" s="4"/>
      <c r="H75" s="4"/>
      <c r="I75" s="4"/>
      <c r="J75" s="4"/>
      <c r="K75" s="2"/>
      <c r="L75" s="4"/>
      <c r="M75" s="4"/>
      <c r="N75" s="4"/>
      <c r="O75" s="4"/>
      <c r="P75" s="4"/>
      <c r="Q75" s="4"/>
      <c r="S75" s="295" t="s">
        <v>440</v>
      </c>
      <c r="T75" s="4">
        <v>1</v>
      </c>
      <c r="U75" s="229">
        <f>T76-V76</f>
        <v>274.26</v>
      </c>
      <c r="V75" s="4">
        <v>2</v>
      </c>
      <c r="W75" s="229">
        <f>V76-X76</f>
        <v>0</v>
      </c>
      <c r="X75" s="4">
        <v>3</v>
      </c>
      <c r="Y75" s="229">
        <f>X76-Z76</f>
        <v>0</v>
      </c>
      <c r="Z75" s="4">
        <v>4</v>
      </c>
      <c r="AA75" s="229">
        <f>Z76-AB76</f>
        <v>-219.25</v>
      </c>
      <c r="AB75" s="4">
        <v>5</v>
      </c>
      <c r="AC75" s="2"/>
      <c r="AG75" s="295" t="s">
        <v>440</v>
      </c>
      <c r="AH75" s="4">
        <v>1</v>
      </c>
      <c r="AI75" s="229">
        <f>AH76-AJ76</f>
        <v>180.01</v>
      </c>
      <c r="AJ75" s="4">
        <v>2</v>
      </c>
      <c r="AK75" s="229">
        <f>AJ76-AL76</f>
        <v>0</v>
      </c>
      <c r="AL75" s="4">
        <v>3</v>
      </c>
      <c r="AM75" s="229">
        <f>AL76-AN76</f>
        <v>0</v>
      </c>
      <c r="AN75" s="4">
        <v>4</v>
      </c>
      <c r="AO75" s="229">
        <f>AN76-AP76</f>
        <v>-119.19</v>
      </c>
      <c r="AP75" s="4">
        <v>5</v>
      </c>
      <c r="AQ75" s="2"/>
      <c r="AT75" s="8"/>
      <c r="AU75" s="295" t="s">
        <v>440</v>
      </c>
      <c r="AV75" s="4">
        <v>1</v>
      </c>
      <c r="AW75" s="229">
        <f>AV76-AX76</f>
        <v>268.73</v>
      </c>
      <c r="AX75" s="4">
        <v>2</v>
      </c>
      <c r="AY75" s="229">
        <f>AX76-AZ76</f>
        <v>0</v>
      </c>
      <c r="AZ75" s="4">
        <v>3</v>
      </c>
      <c r="BA75" s="229">
        <f>AZ76-BB76</f>
        <v>0</v>
      </c>
      <c r="BB75" s="4">
        <v>4</v>
      </c>
      <c r="BC75" s="229">
        <f>BB76-BD76</f>
        <v>-213.66</v>
      </c>
      <c r="BD75" s="4">
        <v>5</v>
      </c>
      <c r="BE75" s="2"/>
      <c r="BI75" s="228" t="s">
        <v>440</v>
      </c>
      <c r="BJ75" s="4">
        <v>1</v>
      </c>
      <c r="BK75" s="229">
        <f>BJ76-BL76</f>
        <v>0</v>
      </c>
      <c r="BL75" s="4">
        <v>2</v>
      </c>
      <c r="BM75" s="229">
        <f>BL76-BN76</f>
        <v>0</v>
      </c>
      <c r="BN75" s="4">
        <v>3</v>
      </c>
      <c r="BO75" s="229">
        <f>BN76-BP76</f>
        <v>0</v>
      </c>
      <c r="BP75" s="4">
        <v>4</v>
      </c>
      <c r="BQ75" s="229">
        <f>BP76-BR76</f>
        <v>0</v>
      </c>
      <c r="BR75" s="4">
        <v>5</v>
      </c>
      <c r="BS75" s="2"/>
      <c r="BW75" s="228" t="s">
        <v>440</v>
      </c>
      <c r="BX75" s="4">
        <v>1</v>
      </c>
      <c r="BY75" s="229">
        <f>BX76-BZ76</f>
        <v>0</v>
      </c>
      <c r="BZ75" s="4">
        <v>2</v>
      </c>
      <c r="CA75" s="229">
        <f>BZ76-CB76</f>
        <v>0</v>
      </c>
      <c r="CB75" s="4">
        <v>3</v>
      </c>
      <c r="CC75" s="229">
        <f>CB76-CD76</f>
        <v>0</v>
      </c>
      <c r="CD75" s="4">
        <v>4</v>
      </c>
      <c r="CE75" s="229">
        <f>CD76-CF76</f>
        <v>0</v>
      </c>
      <c r="CF75" s="4">
        <v>5</v>
      </c>
      <c r="CG75" s="2"/>
      <c r="CK75" s="228" t="s">
        <v>440</v>
      </c>
      <c r="CL75" s="4">
        <v>1</v>
      </c>
      <c r="CM75" s="229">
        <f>CL76-CN76</f>
        <v>13.969999999999999</v>
      </c>
      <c r="CN75" s="4">
        <v>2</v>
      </c>
      <c r="CO75" s="229">
        <f>CN76-CP76</f>
        <v>14.180000000000007</v>
      </c>
      <c r="CP75" s="4">
        <v>3</v>
      </c>
      <c r="CQ75" s="229">
        <f>CP76-CR76</f>
        <v>14.390000000000015</v>
      </c>
      <c r="CR75" s="4">
        <v>4</v>
      </c>
      <c r="CS75" s="229">
        <f>CR76-CT76</f>
        <v>14.619999999999976</v>
      </c>
      <c r="CT75" s="4">
        <v>5</v>
      </c>
      <c r="CU75" s="2"/>
    </row>
    <row r="76" spans="1:115" x14ac:dyDescent="0.35">
      <c r="A76" s="212" t="s">
        <v>585</v>
      </c>
      <c r="B76" s="29" t="s">
        <v>720</v>
      </c>
      <c r="C76" s="30">
        <v>300</v>
      </c>
      <c r="D76" s="49"/>
      <c r="E76" s="4"/>
      <c r="F76" s="4"/>
      <c r="G76" s="4"/>
      <c r="H76" s="4"/>
      <c r="I76" s="4"/>
      <c r="J76" s="4"/>
      <c r="K76" s="2"/>
      <c r="L76" s="4"/>
      <c r="M76" s="4"/>
      <c r="N76" s="4"/>
      <c r="O76" s="4"/>
      <c r="P76" s="4"/>
      <c r="Q76" s="4"/>
      <c r="R76">
        <f>T76-T50</f>
        <v>39.909999999999997</v>
      </c>
      <c r="S76" s="228">
        <v>290</v>
      </c>
      <c r="T76" s="163">
        <v>274.26</v>
      </c>
      <c r="U76" s="173"/>
      <c r="V76" s="173"/>
      <c r="W76" s="173"/>
      <c r="X76" s="173"/>
      <c r="Y76" s="173"/>
      <c r="Z76" s="173"/>
      <c r="AA76" s="173"/>
      <c r="AB76" s="163">
        <v>219.25</v>
      </c>
      <c r="AC76" s="174"/>
      <c r="AD76">
        <f>AB76-AB50</f>
        <v>39.31</v>
      </c>
      <c r="AF76">
        <f>AH76-AH50</f>
        <v>38.899999999999977</v>
      </c>
      <c r="AG76" s="228">
        <v>290</v>
      </c>
      <c r="AH76" s="185">
        <v>180.01</v>
      </c>
      <c r="AI76" s="4"/>
      <c r="AJ76" s="163"/>
      <c r="AK76" s="4"/>
      <c r="AL76" s="196"/>
      <c r="AM76" s="4"/>
      <c r="AN76" s="163"/>
      <c r="AO76" s="4"/>
      <c r="AP76" s="4">
        <v>119.19</v>
      </c>
      <c r="AQ76" s="2"/>
      <c r="AR76">
        <f>AP76-AP50</f>
        <v>38.209999999999994</v>
      </c>
      <c r="AT76" s="8">
        <f>AV76-AV50</f>
        <v>40.430000000000007</v>
      </c>
      <c r="AU76" s="228">
        <v>290</v>
      </c>
      <c r="AV76" s="163">
        <v>268.73</v>
      </c>
      <c r="AW76" s="173"/>
      <c r="AX76" s="173"/>
      <c r="AY76" s="173"/>
      <c r="AZ76" s="173"/>
      <c r="BA76" s="173"/>
      <c r="BB76" s="173"/>
      <c r="BC76" s="173"/>
      <c r="BD76" s="163">
        <v>213.66</v>
      </c>
      <c r="BE76" s="174"/>
      <c r="BF76">
        <f>BD76-BD50</f>
        <v>39.819999999999993</v>
      </c>
      <c r="BI76" s="228">
        <v>290</v>
      </c>
      <c r="BJ76" s="185"/>
      <c r="BK76" s="4"/>
      <c r="BL76" s="4"/>
      <c r="BM76" s="4"/>
      <c r="BN76" s="4"/>
      <c r="BO76" s="4"/>
      <c r="BP76" s="4"/>
      <c r="BQ76" s="4"/>
      <c r="BR76" s="4"/>
      <c r="BS76" s="2"/>
      <c r="BT76">
        <f>BR76-BR50</f>
        <v>-73.8</v>
      </c>
      <c r="BW76" s="228">
        <v>290</v>
      </c>
      <c r="BX76" s="185"/>
      <c r="BY76" s="4"/>
      <c r="BZ76" s="4"/>
      <c r="CA76" s="4"/>
      <c r="CB76" s="4"/>
      <c r="CC76" s="4"/>
      <c r="CD76" s="4"/>
      <c r="CE76" s="4"/>
      <c r="CF76" s="4"/>
      <c r="CG76" s="2"/>
      <c r="CJ76">
        <f>CL76-CL50</f>
        <v>45.02000000000001</v>
      </c>
      <c r="CK76" s="228">
        <v>290</v>
      </c>
      <c r="CL76" s="185">
        <v>237.27</v>
      </c>
      <c r="CM76" s="4"/>
      <c r="CN76" s="4">
        <v>223.3</v>
      </c>
      <c r="CO76" s="4"/>
      <c r="CP76" s="8">
        <v>209.12</v>
      </c>
      <c r="CQ76" s="4"/>
      <c r="CR76" s="4">
        <v>194.73</v>
      </c>
      <c r="CS76" s="4"/>
      <c r="CT76" s="4">
        <v>180.11</v>
      </c>
      <c r="CU76" s="2"/>
      <c r="CV76">
        <f>CT76-CT50</f>
        <v>44.75</v>
      </c>
    </row>
    <row r="77" spans="1:115" x14ac:dyDescent="0.35">
      <c r="A77" s="212" t="s">
        <v>586</v>
      </c>
      <c r="B77" s="29" t="s">
        <v>721</v>
      </c>
      <c r="C77" s="30">
        <v>310</v>
      </c>
      <c r="D77" s="49"/>
      <c r="E77" s="4"/>
      <c r="F77" s="4"/>
      <c r="G77" s="4"/>
      <c r="H77" s="4"/>
      <c r="I77" s="4"/>
      <c r="J77" s="4"/>
      <c r="K77" s="2"/>
      <c r="L77" s="4"/>
      <c r="M77" s="4"/>
      <c r="N77" s="4"/>
      <c r="O77" s="4"/>
      <c r="P77" s="4"/>
      <c r="Q77" s="4"/>
      <c r="S77" s="228">
        <v>300</v>
      </c>
      <c r="T77" s="173"/>
      <c r="U77" s="173">
        <f>T77-T76</f>
        <v>-274.26</v>
      </c>
      <c r="V77" s="173"/>
      <c r="W77" s="173">
        <f>V77-V76</f>
        <v>0</v>
      </c>
      <c r="X77" s="173"/>
      <c r="Y77" s="173">
        <f>X77-X76</f>
        <v>0</v>
      </c>
      <c r="Z77" s="173"/>
      <c r="AA77" s="173">
        <f>Z77-Z76</f>
        <v>0</v>
      </c>
      <c r="AB77" s="163"/>
      <c r="AC77" s="174">
        <f>AB77-AB76</f>
        <v>-219.25</v>
      </c>
      <c r="AG77" s="228">
        <v>300</v>
      </c>
      <c r="AH77" s="4"/>
      <c r="AI77" s="4">
        <f>AH77-AH76</f>
        <v>-180.01</v>
      </c>
      <c r="AJ77" s="163"/>
      <c r="AK77" s="4">
        <f>AJ77-AJ76</f>
        <v>0</v>
      </c>
      <c r="AL77" s="196"/>
      <c r="AM77" s="4">
        <f>AL77-AL76</f>
        <v>0</v>
      </c>
      <c r="AN77" s="163"/>
      <c r="AO77" s="4">
        <f>AN77-AN76</f>
        <v>0</v>
      </c>
      <c r="AP77" s="4"/>
      <c r="AQ77" s="2">
        <f>AP77-AP76</f>
        <v>-119.19</v>
      </c>
      <c r="AT77" s="8"/>
      <c r="AU77" s="228">
        <v>300</v>
      </c>
      <c r="AV77" s="173"/>
      <c r="AW77" s="173">
        <f>AV77-AV76</f>
        <v>-268.73</v>
      </c>
      <c r="AX77" s="173"/>
      <c r="AY77" s="173">
        <f>AX77-AX76</f>
        <v>0</v>
      </c>
      <c r="AZ77" s="173"/>
      <c r="BA77" s="173">
        <f>AZ77-AZ76</f>
        <v>0</v>
      </c>
      <c r="BB77" s="173"/>
      <c r="BC77" s="173">
        <f>BB77-BB76</f>
        <v>0</v>
      </c>
      <c r="BD77" s="173"/>
      <c r="BE77" s="174">
        <f>BD77-BD76</f>
        <v>-213.66</v>
      </c>
      <c r="BI77" s="228">
        <v>300</v>
      </c>
      <c r="BJ77" s="4"/>
      <c r="BK77" s="4">
        <f>BJ77-BJ76</f>
        <v>0</v>
      </c>
      <c r="BL77" s="4"/>
      <c r="BM77" s="4">
        <f>BL77-BL76</f>
        <v>0</v>
      </c>
      <c r="BN77" s="4"/>
      <c r="BO77" s="4">
        <f>BN77-BN76</f>
        <v>0</v>
      </c>
      <c r="BP77" s="4"/>
      <c r="BQ77" s="4">
        <f>BP77-BP76</f>
        <v>0</v>
      </c>
      <c r="BR77" s="4"/>
      <c r="BS77" s="2">
        <f>BR77-BR76</f>
        <v>0</v>
      </c>
      <c r="BW77" s="228">
        <v>300</v>
      </c>
      <c r="BX77" s="4"/>
      <c r="BY77" s="4">
        <f>BX77-BX76</f>
        <v>0</v>
      </c>
      <c r="BZ77" s="4"/>
      <c r="CA77" s="4">
        <f>BZ77-BZ76</f>
        <v>0</v>
      </c>
      <c r="CB77" s="4"/>
      <c r="CC77" s="4">
        <f>CB77-CB76</f>
        <v>0</v>
      </c>
      <c r="CD77" s="4"/>
      <c r="CE77" s="4">
        <f>CD77-CD76</f>
        <v>0</v>
      </c>
      <c r="CF77" s="4"/>
      <c r="CG77" s="2">
        <f>CF77-CF76</f>
        <v>0</v>
      </c>
      <c r="CK77" s="228">
        <v>300</v>
      </c>
      <c r="CL77" s="4">
        <v>240.2</v>
      </c>
      <c r="CM77" s="4">
        <f>CL77-CL76</f>
        <v>2.9299999999999784</v>
      </c>
      <c r="CN77" s="4">
        <v>226.23</v>
      </c>
      <c r="CO77" s="4">
        <f>CN77-CN76</f>
        <v>2.9299999999999784</v>
      </c>
      <c r="CP77" s="8">
        <v>212.07</v>
      </c>
      <c r="CQ77" s="4">
        <f>CP77-CP76</f>
        <v>2.9499999999999886</v>
      </c>
      <c r="CR77" s="4">
        <v>197.69</v>
      </c>
      <c r="CS77" s="4">
        <f>CR77-CR76</f>
        <v>2.960000000000008</v>
      </c>
      <c r="CT77" s="4">
        <v>183.11</v>
      </c>
      <c r="CU77" s="2">
        <f>CT77-CT76</f>
        <v>3</v>
      </c>
    </row>
    <row r="78" spans="1:115" x14ac:dyDescent="0.35">
      <c r="A78" s="212" t="s">
        <v>361</v>
      </c>
      <c r="B78" s="29" t="s">
        <v>722</v>
      </c>
      <c r="C78" s="30">
        <v>320</v>
      </c>
      <c r="D78" s="49"/>
      <c r="E78" s="4"/>
      <c r="F78" s="4"/>
      <c r="G78" s="4"/>
      <c r="H78" s="4"/>
      <c r="I78" s="4"/>
      <c r="J78" s="4"/>
      <c r="K78" s="2"/>
      <c r="L78" s="4"/>
      <c r="M78" s="4"/>
      <c r="N78" s="4"/>
      <c r="O78" s="4"/>
      <c r="P78" s="4"/>
      <c r="Q78" s="4"/>
      <c r="S78" s="228">
        <v>310</v>
      </c>
      <c r="T78" s="194"/>
      <c r="U78" s="173">
        <f t="shared" ref="U78:U95" si="35">T78-T77</f>
        <v>0</v>
      </c>
      <c r="V78" s="194"/>
      <c r="W78" s="173">
        <f t="shared" ref="W78:W95" si="36">V78-V77</f>
        <v>0</v>
      </c>
      <c r="X78" s="194"/>
      <c r="Y78" s="173">
        <f t="shared" ref="Y78:Y95" si="37">X78-X77</f>
        <v>0</v>
      </c>
      <c r="Z78" s="173"/>
      <c r="AA78" s="173">
        <f t="shared" ref="AA78" si="38">Z78-Z77</f>
        <v>0</v>
      </c>
      <c r="AB78" s="196"/>
      <c r="AC78" s="174">
        <f t="shared" ref="AC78" si="39">AB78-AB77</f>
        <v>0</v>
      </c>
      <c r="AE78" s="4"/>
      <c r="AF78" s="4"/>
      <c r="AG78" s="228">
        <v>310</v>
      </c>
      <c r="AH78" s="4"/>
      <c r="AI78" s="4">
        <f t="shared" ref="AI78:AI95" si="40">AH78-AH77</f>
        <v>0</v>
      </c>
      <c r="AJ78" s="163"/>
      <c r="AK78" s="4">
        <f t="shared" ref="AK78:AK95" si="41">AJ78-AJ77</f>
        <v>0</v>
      </c>
      <c r="AL78" s="163"/>
      <c r="AM78" s="4">
        <f t="shared" ref="AM78:AM95" si="42">AL78-AL77</f>
        <v>0</v>
      </c>
      <c r="AN78" s="163"/>
      <c r="AO78" s="4">
        <f t="shared" ref="AO78:AO95" si="43">AN78-AN77</f>
        <v>0</v>
      </c>
      <c r="AP78" s="4"/>
      <c r="AQ78" s="2">
        <f t="shared" ref="AQ78:AQ95" si="44">AP78-AP77</f>
        <v>0</v>
      </c>
      <c r="AT78" s="38"/>
      <c r="AU78" s="238">
        <v>310</v>
      </c>
      <c r="AV78" s="194"/>
      <c r="AW78" s="173">
        <f t="shared" ref="AW78:AW95" si="45">AV78-AV77</f>
        <v>0</v>
      </c>
      <c r="AX78" s="194"/>
      <c r="AY78" s="173">
        <f t="shared" ref="AY78:AY95" si="46">AX78-AX77</f>
        <v>0</v>
      </c>
      <c r="AZ78" s="194"/>
      <c r="BA78" s="173">
        <f t="shared" ref="BA78:BA95" si="47">AZ78-AZ77</f>
        <v>0</v>
      </c>
      <c r="BB78" s="173"/>
      <c r="BC78" s="173">
        <f t="shared" ref="BC78:BC95" si="48">BB78-BB77</f>
        <v>0</v>
      </c>
      <c r="BD78" s="194"/>
      <c r="BE78" s="174">
        <f t="shared" ref="BE78:BE95" si="49">BD78-BD77</f>
        <v>0</v>
      </c>
      <c r="BI78" s="228">
        <v>310</v>
      </c>
      <c r="BJ78" s="8"/>
      <c r="BK78" s="4">
        <f t="shared" ref="BK78:BK95" si="50">BJ78-BJ77</f>
        <v>0</v>
      </c>
      <c r="BL78" s="8"/>
      <c r="BM78" s="4">
        <f t="shared" ref="BM78:BM95" si="51">BL78-BL77</f>
        <v>0</v>
      </c>
      <c r="BN78" s="8"/>
      <c r="BO78" s="4">
        <f t="shared" ref="BO78:BO95" si="52">BN78-BN77</f>
        <v>0</v>
      </c>
      <c r="BP78" s="4"/>
      <c r="BQ78" s="4">
        <f t="shared" ref="BQ78:BQ95" si="53">BP78-BP77</f>
        <v>0</v>
      </c>
      <c r="BR78" s="8"/>
      <c r="BS78" s="2">
        <f t="shared" ref="BS78:BS95" si="54">BR78-BR77</f>
        <v>0</v>
      </c>
      <c r="BW78" s="228">
        <v>310</v>
      </c>
      <c r="BX78" s="8"/>
      <c r="BY78" s="4">
        <f t="shared" ref="BY78:BY95" si="55">BX78-BX77</f>
        <v>0</v>
      </c>
      <c r="BZ78" s="8"/>
      <c r="CA78" s="4">
        <f t="shared" ref="CA78:CA95" si="56">BZ78-BZ77</f>
        <v>0</v>
      </c>
      <c r="CB78" s="8"/>
      <c r="CC78" s="4">
        <f t="shared" ref="CC78:CC95" si="57">CB78-CB77</f>
        <v>0</v>
      </c>
      <c r="CD78" s="4"/>
      <c r="CE78" s="4">
        <f t="shared" ref="CE78:CE95" si="58">CD78-CD77</f>
        <v>0</v>
      </c>
      <c r="CF78" s="8"/>
      <c r="CG78" s="2">
        <f t="shared" ref="CG78:CG95" si="59">CF78-CF77</f>
        <v>0</v>
      </c>
      <c r="CK78" s="228">
        <v>310</v>
      </c>
      <c r="CL78" s="8"/>
      <c r="CM78" s="4">
        <f t="shared" ref="CM78:CM95" si="60">CL78-CL77</f>
        <v>-240.2</v>
      </c>
      <c r="CN78" s="8"/>
      <c r="CO78" s="4">
        <f t="shared" ref="CO78:CO95" si="61">CN78-CN77</f>
        <v>-226.23</v>
      </c>
      <c r="CP78" s="8"/>
      <c r="CQ78" s="4">
        <f t="shared" ref="CQ78:CQ95" si="62">CP78-CP77</f>
        <v>-212.07</v>
      </c>
      <c r="CR78" s="4"/>
      <c r="CS78" s="4">
        <f t="shared" ref="CS78:CS95" si="63">CR78-CR77</f>
        <v>-197.69</v>
      </c>
      <c r="CT78" s="8"/>
      <c r="CU78" s="2">
        <f t="shared" ref="CU78:CU95" si="64">CT78-CT77</f>
        <v>-183.11</v>
      </c>
    </row>
    <row r="79" spans="1:115" x14ac:dyDescent="0.35">
      <c r="A79" s="212" t="s">
        <v>381</v>
      </c>
      <c r="B79" s="29" t="s">
        <v>723</v>
      </c>
      <c r="C79" s="30">
        <v>330</v>
      </c>
      <c r="D79" s="49"/>
      <c r="E79" s="4"/>
      <c r="F79" s="4"/>
      <c r="G79" s="4"/>
      <c r="H79" s="4"/>
      <c r="I79" s="4"/>
      <c r="J79" s="4"/>
      <c r="K79" s="2"/>
      <c r="L79" s="4"/>
      <c r="M79" s="4"/>
      <c r="N79" s="4"/>
      <c r="O79" s="4"/>
      <c r="P79" s="4"/>
      <c r="Q79" s="4"/>
      <c r="S79" s="228">
        <v>320</v>
      </c>
      <c r="T79" s="173"/>
      <c r="U79" s="173">
        <f t="shared" si="35"/>
        <v>0</v>
      </c>
      <c r="V79" s="173"/>
      <c r="W79" s="173">
        <f t="shared" si="36"/>
        <v>0</v>
      </c>
      <c r="X79" s="173"/>
      <c r="Y79" s="173">
        <f t="shared" si="37"/>
        <v>0</v>
      </c>
      <c r="Z79" s="173"/>
      <c r="AA79" s="173">
        <f t="shared" ref="AA79" si="65">Z79-Z78</f>
        <v>0</v>
      </c>
      <c r="AB79" s="163"/>
      <c r="AC79" s="174">
        <f t="shared" ref="AC79" si="66">AB79-AB78</f>
        <v>0</v>
      </c>
      <c r="AE79" s="4"/>
      <c r="AF79" s="4"/>
      <c r="AG79" s="228">
        <v>320</v>
      </c>
      <c r="AH79" s="4"/>
      <c r="AI79" s="173">
        <f t="shared" si="40"/>
        <v>0</v>
      </c>
      <c r="AJ79" s="163"/>
      <c r="AK79" s="173">
        <f t="shared" si="41"/>
        <v>0</v>
      </c>
      <c r="AL79" s="163"/>
      <c r="AM79" s="4">
        <f t="shared" si="42"/>
        <v>0</v>
      </c>
      <c r="AN79" s="163"/>
      <c r="AO79" s="4">
        <f t="shared" si="43"/>
        <v>0</v>
      </c>
      <c r="AP79" s="4"/>
      <c r="AQ79" s="2">
        <f t="shared" si="44"/>
        <v>0</v>
      </c>
      <c r="AT79" s="38"/>
      <c r="AU79" s="238">
        <v>320</v>
      </c>
      <c r="AV79" s="173"/>
      <c r="AW79" s="173">
        <f t="shared" si="45"/>
        <v>0</v>
      </c>
      <c r="AX79" s="173"/>
      <c r="AY79" s="173">
        <f t="shared" si="46"/>
        <v>0</v>
      </c>
      <c r="AZ79" s="173"/>
      <c r="BA79" s="173">
        <f t="shared" si="47"/>
        <v>0</v>
      </c>
      <c r="BB79" s="173"/>
      <c r="BC79" s="173">
        <f t="shared" si="48"/>
        <v>0</v>
      </c>
      <c r="BD79" s="173"/>
      <c r="BE79" s="174">
        <f t="shared" si="49"/>
        <v>0</v>
      </c>
      <c r="BI79" s="228">
        <v>320</v>
      </c>
      <c r="BJ79" s="4"/>
      <c r="BK79" s="173">
        <f t="shared" si="50"/>
        <v>0</v>
      </c>
      <c r="BL79" s="4"/>
      <c r="BM79" s="173">
        <f t="shared" si="51"/>
        <v>0</v>
      </c>
      <c r="BN79" s="4"/>
      <c r="BO79" s="4">
        <f t="shared" si="52"/>
        <v>0</v>
      </c>
      <c r="BP79" s="4"/>
      <c r="BQ79" s="4">
        <f t="shared" si="53"/>
        <v>0</v>
      </c>
      <c r="BR79" s="4"/>
      <c r="BS79" s="2">
        <f t="shared" si="54"/>
        <v>0</v>
      </c>
      <c r="BW79" s="228">
        <v>320</v>
      </c>
      <c r="BX79" s="4"/>
      <c r="BY79" s="173">
        <f t="shared" si="55"/>
        <v>0</v>
      </c>
      <c r="BZ79" s="4"/>
      <c r="CA79" s="173">
        <f t="shared" si="56"/>
        <v>0</v>
      </c>
      <c r="CB79" s="4"/>
      <c r="CC79" s="4">
        <f t="shared" si="57"/>
        <v>0</v>
      </c>
      <c r="CD79" s="4"/>
      <c r="CE79" s="4">
        <f t="shared" si="58"/>
        <v>0</v>
      </c>
      <c r="CF79" s="4"/>
      <c r="CG79" s="2">
        <f t="shared" si="59"/>
        <v>0</v>
      </c>
      <c r="CK79" s="228">
        <v>320</v>
      </c>
      <c r="CL79" s="4"/>
      <c r="CM79" s="173">
        <f t="shared" si="60"/>
        <v>0</v>
      </c>
      <c r="CN79" s="4"/>
      <c r="CO79" s="173">
        <f t="shared" si="61"/>
        <v>0</v>
      </c>
      <c r="CP79" s="4"/>
      <c r="CQ79" s="4">
        <f t="shared" si="62"/>
        <v>0</v>
      </c>
      <c r="CR79" s="4"/>
      <c r="CS79" s="4">
        <f t="shared" si="63"/>
        <v>0</v>
      </c>
      <c r="CT79" s="4"/>
      <c r="CU79" s="2">
        <f t="shared" si="64"/>
        <v>0</v>
      </c>
    </row>
    <row r="80" spans="1:115" x14ac:dyDescent="0.35">
      <c r="A80" s="212" t="s">
        <v>362</v>
      </c>
      <c r="B80" s="29" t="s">
        <v>724</v>
      </c>
      <c r="C80" s="30">
        <v>340</v>
      </c>
      <c r="D80" s="49"/>
      <c r="E80" s="4"/>
      <c r="F80" s="4"/>
      <c r="G80" s="4"/>
      <c r="H80" s="4"/>
      <c r="I80" s="4"/>
      <c r="J80" s="4"/>
      <c r="K80" s="2"/>
      <c r="L80" s="4"/>
      <c r="M80" s="4"/>
      <c r="N80" s="4"/>
      <c r="O80" s="4"/>
      <c r="P80" s="4"/>
      <c r="Q80" s="4"/>
      <c r="S80" s="228">
        <v>330</v>
      </c>
      <c r="T80" s="173"/>
      <c r="U80" s="173">
        <f t="shared" si="35"/>
        <v>0</v>
      </c>
      <c r="V80" s="173"/>
      <c r="W80" s="173">
        <f t="shared" si="36"/>
        <v>0</v>
      </c>
      <c r="X80" s="173"/>
      <c r="Y80" s="173">
        <f t="shared" si="37"/>
        <v>0</v>
      </c>
      <c r="Z80" s="173"/>
      <c r="AA80" s="173">
        <f t="shared" ref="AA80" si="67">Z80-Z79</f>
        <v>0</v>
      </c>
      <c r="AB80" s="163"/>
      <c r="AC80" s="174">
        <f t="shared" ref="AC80" si="68">AB80-AB79</f>
        <v>0</v>
      </c>
      <c r="AE80" s="4"/>
      <c r="AF80" s="4"/>
      <c r="AG80" s="228">
        <v>330</v>
      </c>
      <c r="AH80" s="4"/>
      <c r="AI80" s="173">
        <f t="shared" si="40"/>
        <v>0</v>
      </c>
      <c r="AJ80" s="163"/>
      <c r="AK80" s="173">
        <f t="shared" si="41"/>
        <v>0</v>
      </c>
      <c r="AL80" s="163"/>
      <c r="AM80" s="4">
        <f t="shared" si="42"/>
        <v>0</v>
      </c>
      <c r="AN80" s="163"/>
      <c r="AO80" s="173">
        <f t="shared" si="43"/>
        <v>0</v>
      </c>
      <c r="AP80" s="4"/>
      <c r="AQ80" s="174">
        <f t="shared" si="44"/>
        <v>0</v>
      </c>
      <c r="AT80" s="38"/>
      <c r="AU80" s="238">
        <v>330</v>
      </c>
      <c r="AV80" s="173"/>
      <c r="AW80" s="173">
        <f t="shared" si="45"/>
        <v>0</v>
      </c>
      <c r="AX80" s="173"/>
      <c r="AY80" s="173">
        <f t="shared" si="46"/>
        <v>0</v>
      </c>
      <c r="AZ80" s="173"/>
      <c r="BA80" s="173">
        <f t="shared" si="47"/>
        <v>0</v>
      </c>
      <c r="BB80" s="173"/>
      <c r="BC80" s="173">
        <f t="shared" si="48"/>
        <v>0</v>
      </c>
      <c r="BD80" s="173"/>
      <c r="BE80" s="174">
        <f t="shared" si="49"/>
        <v>0</v>
      </c>
      <c r="BI80" s="228">
        <v>330</v>
      </c>
      <c r="BJ80" s="4"/>
      <c r="BK80" s="173">
        <f t="shared" si="50"/>
        <v>0</v>
      </c>
      <c r="BL80" s="4"/>
      <c r="BM80" s="173">
        <f t="shared" si="51"/>
        <v>0</v>
      </c>
      <c r="BN80" s="4"/>
      <c r="BO80" s="4">
        <f t="shared" si="52"/>
        <v>0</v>
      </c>
      <c r="BP80" s="4"/>
      <c r="BQ80" s="173">
        <f t="shared" si="53"/>
        <v>0</v>
      </c>
      <c r="BR80" s="4"/>
      <c r="BS80" s="174">
        <f t="shared" si="54"/>
        <v>0</v>
      </c>
      <c r="BW80" s="228">
        <v>330</v>
      </c>
      <c r="BX80" s="4"/>
      <c r="BY80" s="173">
        <f t="shared" si="55"/>
        <v>0</v>
      </c>
      <c r="BZ80" s="4"/>
      <c r="CA80" s="173">
        <f t="shared" si="56"/>
        <v>0</v>
      </c>
      <c r="CB80" s="4"/>
      <c r="CC80" s="4">
        <f t="shared" si="57"/>
        <v>0</v>
      </c>
      <c r="CD80" s="4"/>
      <c r="CE80" s="173">
        <f t="shared" si="58"/>
        <v>0</v>
      </c>
      <c r="CF80" s="4"/>
      <c r="CG80" s="174">
        <f t="shared" si="59"/>
        <v>0</v>
      </c>
      <c r="CK80" s="228">
        <v>330</v>
      </c>
      <c r="CL80" s="4"/>
      <c r="CM80" s="173">
        <f t="shared" si="60"/>
        <v>0</v>
      </c>
      <c r="CN80" s="4"/>
      <c r="CO80" s="173">
        <f t="shared" si="61"/>
        <v>0</v>
      </c>
      <c r="CP80" s="4"/>
      <c r="CQ80" s="4">
        <f t="shared" si="62"/>
        <v>0</v>
      </c>
      <c r="CR80" s="4"/>
      <c r="CS80" s="173">
        <f t="shared" si="63"/>
        <v>0</v>
      </c>
      <c r="CT80" s="4"/>
      <c r="CU80" s="174">
        <f t="shared" si="64"/>
        <v>0</v>
      </c>
    </row>
    <row r="81" spans="1:101" x14ac:dyDescent="0.35">
      <c r="A81" s="212" t="s">
        <v>382</v>
      </c>
      <c r="B81" s="29" t="s">
        <v>725</v>
      </c>
      <c r="C81" s="30">
        <v>350</v>
      </c>
      <c r="D81" s="49"/>
      <c r="E81" s="4"/>
      <c r="F81" s="4"/>
      <c r="G81" s="4"/>
      <c r="H81" s="4"/>
      <c r="I81" s="4"/>
      <c r="J81" s="4"/>
      <c r="K81" s="2"/>
      <c r="L81" s="4"/>
      <c r="M81" s="4"/>
      <c r="N81" s="4"/>
      <c r="O81" s="4"/>
      <c r="P81" s="4"/>
      <c r="Q81" s="4"/>
      <c r="S81" s="228">
        <v>340</v>
      </c>
      <c r="T81" s="173"/>
      <c r="U81" s="173">
        <f t="shared" si="35"/>
        <v>0</v>
      </c>
      <c r="V81" s="173"/>
      <c r="W81" s="173">
        <f t="shared" si="36"/>
        <v>0</v>
      </c>
      <c r="X81" s="173"/>
      <c r="Y81" s="173">
        <f t="shared" si="37"/>
        <v>0</v>
      </c>
      <c r="Z81" s="173"/>
      <c r="AA81" s="173">
        <f t="shared" ref="AA81" si="69">Z81-Z80</f>
        <v>0</v>
      </c>
      <c r="AB81" s="163"/>
      <c r="AC81" s="174">
        <f t="shared" ref="AC81" si="70">AB81-AB80</f>
        <v>0</v>
      </c>
      <c r="AE81" s="4"/>
      <c r="AF81" s="4"/>
      <c r="AG81" s="228">
        <v>340</v>
      </c>
      <c r="AH81" s="4"/>
      <c r="AI81" s="173">
        <f t="shared" si="40"/>
        <v>0</v>
      </c>
      <c r="AJ81" s="163"/>
      <c r="AK81" s="173">
        <f t="shared" si="41"/>
        <v>0</v>
      </c>
      <c r="AL81" s="163"/>
      <c r="AM81" s="4">
        <f t="shared" si="42"/>
        <v>0</v>
      </c>
      <c r="AN81" s="163"/>
      <c r="AO81" s="173">
        <f t="shared" si="43"/>
        <v>0</v>
      </c>
      <c r="AP81" s="4"/>
      <c r="AQ81" s="174">
        <f t="shared" si="44"/>
        <v>0</v>
      </c>
      <c r="AT81" s="38"/>
      <c r="AU81" s="238">
        <v>340</v>
      </c>
      <c r="AV81" s="173"/>
      <c r="AW81" s="173">
        <f t="shared" si="45"/>
        <v>0</v>
      </c>
      <c r="AX81" s="173"/>
      <c r="AY81" s="173">
        <f t="shared" si="46"/>
        <v>0</v>
      </c>
      <c r="AZ81" s="173"/>
      <c r="BA81" s="173">
        <f t="shared" si="47"/>
        <v>0</v>
      </c>
      <c r="BB81" s="173"/>
      <c r="BC81" s="173">
        <f t="shared" si="48"/>
        <v>0</v>
      </c>
      <c r="BD81" s="173"/>
      <c r="BE81" s="174">
        <f t="shared" si="49"/>
        <v>0</v>
      </c>
      <c r="BI81" s="228">
        <v>340</v>
      </c>
      <c r="BJ81" s="4"/>
      <c r="BK81" s="173">
        <f t="shared" si="50"/>
        <v>0</v>
      </c>
      <c r="BL81" s="4"/>
      <c r="BM81" s="173">
        <f t="shared" si="51"/>
        <v>0</v>
      </c>
      <c r="BN81" s="4"/>
      <c r="BO81" s="4">
        <f t="shared" si="52"/>
        <v>0</v>
      </c>
      <c r="BP81" s="4"/>
      <c r="BQ81" s="173">
        <f t="shared" si="53"/>
        <v>0</v>
      </c>
      <c r="BR81" s="4"/>
      <c r="BS81" s="174">
        <f t="shared" si="54"/>
        <v>0</v>
      </c>
      <c r="BW81" s="228">
        <v>340</v>
      </c>
      <c r="BX81" s="4"/>
      <c r="BY81" s="173">
        <f t="shared" si="55"/>
        <v>0</v>
      </c>
      <c r="BZ81" s="4"/>
      <c r="CA81" s="173">
        <f t="shared" si="56"/>
        <v>0</v>
      </c>
      <c r="CB81" s="4"/>
      <c r="CC81" s="4">
        <f t="shared" si="57"/>
        <v>0</v>
      </c>
      <c r="CD81" s="4"/>
      <c r="CE81" s="173">
        <f t="shared" si="58"/>
        <v>0</v>
      </c>
      <c r="CF81" s="4"/>
      <c r="CG81" s="174">
        <f t="shared" si="59"/>
        <v>0</v>
      </c>
      <c r="CK81" s="228">
        <v>340</v>
      </c>
      <c r="CL81" s="4"/>
      <c r="CM81" s="173">
        <f t="shared" si="60"/>
        <v>0</v>
      </c>
      <c r="CN81" s="4"/>
      <c r="CO81" s="173">
        <f t="shared" si="61"/>
        <v>0</v>
      </c>
      <c r="CP81" s="4"/>
      <c r="CQ81" s="4">
        <f t="shared" si="62"/>
        <v>0</v>
      </c>
      <c r="CR81" s="4"/>
      <c r="CS81" s="173">
        <f t="shared" si="63"/>
        <v>0</v>
      </c>
      <c r="CT81" s="4"/>
      <c r="CU81" s="174">
        <f t="shared" si="64"/>
        <v>0</v>
      </c>
    </row>
    <row r="82" spans="1:101" x14ac:dyDescent="0.35">
      <c r="A82" s="212" t="s">
        <v>363</v>
      </c>
      <c r="B82" s="29" t="s">
        <v>726</v>
      </c>
      <c r="C82" s="30">
        <v>360</v>
      </c>
      <c r="D82" s="49"/>
      <c r="E82" s="4"/>
      <c r="F82" s="4"/>
      <c r="G82" s="4"/>
      <c r="H82" s="4"/>
      <c r="I82" s="4"/>
      <c r="J82" s="4"/>
      <c r="K82" s="2"/>
      <c r="L82" s="4"/>
      <c r="M82" s="4"/>
      <c r="N82" s="4"/>
      <c r="O82" s="4"/>
      <c r="P82" s="4"/>
      <c r="Q82" s="4"/>
      <c r="S82" s="228">
        <v>350</v>
      </c>
      <c r="T82" s="173"/>
      <c r="U82" s="173">
        <f t="shared" si="35"/>
        <v>0</v>
      </c>
      <c r="V82" s="173"/>
      <c r="W82" s="173">
        <f t="shared" si="36"/>
        <v>0</v>
      </c>
      <c r="X82" s="173"/>
      <c r="Y82" s="173">
        <f t="shared" si="37"/>
        <v>0</v>
      </c>
      <c r="Z82" s="173"/>
      <c r="AA82" s="173">
        <f t="shared" ref="AA82" si="71">Z82-Z81</f>
        <v>0</v>
      </c>
      <c r="AB82" s="163"/>
      <c r="AC82" s="174">
        <f t="shared" ref="AC82" si="72">AB82-AB81</f>
        <v>0</v>
      </c>
      <c r="AE82" s="4"/>
      <c r="AF82" s="4"/>
      <c r="AG82" s="228">
        <v>350</v>
      </c>
      <c r="AH82" s="4"/>
      <c r="AI82" s="173">
        <f t="shared" si="40"/>
        <v>0</v>
      </c>
      <c r="AJ82" s="163"/>
      <c r="AK82" s="173">
        <f t="shared" si="41"/>
        <v>0</v>
      </c>
      <c r="AL82" s="163"/>
      <c r="AM82" s="4">
        <f t="shared" si="42"/>
        <v>0</v>
      </c>
      <c r="AN82" s="163"/>
      <c r="AO82" s="173">
        <f t="shared" si="43"/>
        <v>0</v>
      </c>
      <c r="AP82" s="4"/>
      <c r="AQ82" s="174">
        <f t="shared" si="44"/>
        <v>0</v>
      </c>
      <c r="AT82" s="38"/>
      <c r="AU82" s="238">
        <v>350</v>
      </c>
      <c r="AV82" s="173"/>
      <c r="AW82" s="173">
        <f t="shared" si="45"/>
        <v>0</v>
      </c>
      <c r="AX82" s="173"/>
      <c r="AY82" s="173">
        <f t="shared" si="46"/>
        <v>0</v>
      </c>
      <c r="AZ82" s="173"/>
      <c r="BA82" s="173">
        <f t="shared" si="47"/>
        <v>0</v>
      </c>
      <c r="BB82" s="173"/>
      <c r="BC82" s="173">
        <f t="shared" si="48"/>
        <v>0</v>
      </c>
      <c r="BD82" s="173"/>
      <c r="BE82" s="174">
        <f t="shared" si="49"/>
        <v>0</v>
      </c>
      <c r="BI82" s="228">
        <v>350</v>
      </c>
      <c r="BJ82" s="4"/>
      <c r="BK82" s="173">
        <f t="shared" si="50"/>
        <v>0</v>
      </c>
      <c r="BL82" s="4"/>
      <c r="BM82" s="173">
        <f t="shared" si="51"/>
        <v>0</v>
      </c>
      <c r="BN82" s="4"/>
      <c r="BO82" s="4">
        <f t="shared" si="52"/>
        <v>0</v>
      </c>
      <c r="BP82" s="4"/>
      <c r="BQ82" s="173">
        <f t="shared" si="53"/>
        <v>0</v>
      </c>
      <c r="BR82" s="4"/>
      <c r="BS82" s="174">
        <f t="shared" si="54"/>
        <v>0</v>
      </c>
      <c r="BW82" s="228">
        <v>350</v>
      </c>
      <c r="BX82" s="4"/>
      <c r="BY82" s="173">
        <f t="shared" si="55"/>
        <v>0</v>
      </c>
      <c r="BZ82" s="4"/>
      <c r="CA82" s="173">
        <f t="shared" si="56"/>
        <v>0</v>
      </c>
      <c r="CB82" s="4"/>
      <c r="CC82" s="4">
        <f t="shared" si="57"/>
        <v>0</v>
      </c>
      <c r="CD82" s="4"/>
      <c r="CE82" s="173">
        <f t="shared" si="58"/>
        <v>0</v>
      </c>
      <c r="CF82" s="4"/>
      <c r="CG82" s="174">
        <f t="shared" si="59"/>
        <v>0</v>
      </c>
      <c r="CK82" s="228">
        <v>350</v>
      </c>
      <c r="CL82" s="4"/>
      <c r="CM82" s="173">
        <f t="shared" si="60"/>
        <v>0</v>
      </c>
      <c r="CN82" s="4"/>
      <c r="CO82" s="173">
        <f t="shared" si="61"/>
        <v>0</v>
      </c>
      <c r="CP82" s="4"/>
      <c r="CQ82" s="4">
        <f t="shared" si="62"/>
        <v>0</v>
      </c>
      <c r="CR82" s="4"/>
      <c r="CS82" s="173">
        <f t="shared" si="63"/>
        <v>0</v>
      </c>
      <c r="CT82" s="4"/>
      <c r="CU82" s="174">
        <f t="shared" si="64"/>
        <v>0</v>
      </c>
    </row>
    <row r="83" spans="1:101" x14ac:dyDescent="0.35">
      <c r="A83" s="212" t="s">
        <v>383</v>
      </c>
      <c r="B83" s="29" t="s">
        <v>727</v>
      </c>
      <c r="C83" s="30">
        <v>370</v>
      </c>
      <c r="D83" s="49"/>
      <c r="E83" s="4"/>
      <c r="F83" s="4"/>
      <c r="G83" s="4"/>
      <c r="H83" s="4"/>
      <c r="I83" s="4"/>
      <c r="J83" s="4"/>
      <c r="K83" s="2"/>
      <c r="L83" s="4"/>
      <c r="M83" s="4"/>
      <c r="N83" s="4"/>
      <c r="O83" s="4"/>
      <c r="P83" s="4"/>
      <c r="Q83" s="4"/>
      <c r="S83" s="228">
        <v>360</v>
      </c>
      <c r="T83" s="173"/>
      <c r="U83" s="173">
        <f t="shared" si="35"/>
        <v>0</v>
      </c>
      <c r="V83" s="173"/>
      <c r="W83" s="173">
        <f t="shared" si="36"/>
        <v>0</v>
      </c>
      <c r="X83" s="173"/>
      <c r="Y83" s="173">
        <f t="shared" si="37"/>
        <v>0</v>
      </c>
      <c r="Z83" s="173"/>
      <c r="AA83" s="173">
        <f t="shared" ref="AA83" si="73">Z83-Z82</f>
        <v>0</v>
      </c>
      <c r="AB83" s="163"/>
      <c r="AC83" s="174">
        <f t="shared" ref="AC83" si="74">AB83-AB82</f>
        <v>0</v>
      </c>
      <c r="AG83" s="228">
        <v>360</v>
      </c>
      <c r="AH83" s="4"/>
      <c r="AI83" s="173">
        <f t="shared" si="40"/>
        <v>0</v>
      </c>
      <c r="AJ83" s="163"/>
      <c r="AK83" s="173">
        <f t="shared" si="41"/>
        <v>0</v>
      </c>
      <c r="AL83" s="163"/>
      <c r="AM83" s="4">
        <f t="shared" si="42"/>
        <v>0</v>
      </c>
      <c r="AN83" s="163"/>
      <c r="AO83" s="173">
        <f t="shared" si="43"/>
        <v>0</v>
      </c>
      <c r="AP83" s="4"/>
      <c r="AQ83" s="174">
        <f t="shared" si="44"/>
        <v>0</v>
      </c>
      <c r="AU83" s="228">
        <v>360</v>
      </c>
      <c r="AV83" s="173"/>
      <c r="AW83" s="173">
        <f t="shared" si="45"/>
        <v>0</v>
      </c>
      <c r="AX83" s="173"/>
      <c r="AY83" s="173">
        <f t="shared" si="46"/>
        <v>0</v>
      </c>
      <c r="AZ83" s="173"/>
      <c r="BA83" s="173">
        <f t="shared" si="47"/>
        <v>0</v>
      </c>
      <c r="BB83" s="173"/>
      <c r="BC83" s="173">
        <f t="shared" si="48"/>
        <v>0</v>
      </c>
      <c r="BD83" s="173"/>
      <c r="BE83" s="174">
        <f t="shared" si="49"/>
        <v>0</v>
      </c>
      <c r="BI83" s="228">
        <v>360</v>
      </c>
      <c r="BJ83" s="4"/>
      <c r="BK83" s="173">
        <f t="shared" si="50"/>
        <v>0</v>
      </c>
      <c r="BL83" s="4"/>
      <c r="BM83" s="173">
        <f t="shared" si="51"/>
        <v>0</v>
      </c>
      <c r="BN83" s="4"/>
      <c r="BO83" s="4">
        <f t="shared" si="52"/>
        <v>0</v>
      </c>
      <c r="BP83" s="4"/>
      <c r="BQ83" s="173">
        <f t="shared" si="53"/>
        <v>0</v>
      </c>
      <c r="BR83" s="4"/>
      <c r="BS83" s="174">
        <f t="shared" si="54"/>
        <v>0</v>
      </c>
      <c r="BW83" s="228">
        <v>360</v>
      </c>
      <c r="BX83" s="4"/>
      <c r="BY83" s="173">
        <f t="shared" si="55"/>
        <v>0</v>
      </c>
      <c r="BZ83" s="4"/>
      <c r="CA83" s="173">
        <f t="shared" si="56"/>
        <v>0</v>
      </c>
      <c r="CB83" s="4"/>
      <c r="CC83" s="4">
        <f t="shared" si="57"/>
        <v>0</v>
      </c>
      <c r="CD83" s="4"/>
      <c r="CE83" s="173">
        <f t="shared" si="58"/>
        <v>0</v>
      </c>
      <c r="CF83" s="4"/>
      <c r="CG83" s="174">
        <f t="shared" si="59"/>
        <v>0</v>
      </c>
      <c r="CK83" s="228">
        <v>360</v>
      </c>
      <c r="CL83" s="4"/>
      <c r="CM83" s="173">
        <f t="shared" si="60"/>
        <v>0</v>
      </c>
      <c r="CN83" s="4"/>
      <c r="CO83" s="173">
        <f t="shared" si="61"/>
        <v>0</v>
      </c>
      <c r="CP83" s="4"/>
      <c r="CQ83" s="4">
        <f t="shared" si="62"/>
        <v>0</v>
      </c>
      <c r="CR83" s="4"/>
      <c r="CS83" s="173">
        <f t="shared" si="63"/>
        <v>0</v>
      </c>
      <c r="CT83" s="4"/>
      <c r="CU83" s="174">
        <f t="shared" si="64"/>
        <v>0</v>
      </c>
    </row>
    <row r="84" spans="1:101" x14ac:dyDescent="0.35">
      <c r="A84" s="212" t="s">
        <v>364</v>
      </c>
      <c r="B84" s="29" t="s">
        <v>728</v>
      </c>
      <c r="C84" s="30">
        <v>380</v>
      </c>
      <c r="D84" s="49"/>
      <c r="E84" s="4"/>
      <c r="F84" s="4"/>
      <c r="G84" s="4"/>
      <c r="H84" s="4"/>
      <c r="I84" s="4"/>
      <c r="J84" s="4"/>
      <c r="K84" s="2"/>
      <c r="L84" s="4"/>
      <c r="M84" s="4"/>
      <c r="N84" s="4"/>
      <c r="O84" s="4"/>
      <c r="P84" s="4"/>
      <c r="Q84" s="4"/>
      <c r="S84" s="228">
        <v>370</v>
      </c>
      <c r="T84" s="173"/>
      <c r="U84" s="173">
        <f t="shared" si="35"/>
        <v>0</v>
      </c>
      <c r="V84" s="173"/>
      <c r="W84" s="173">
        <f t="shared" si="36"/>
        <v>0</v>
      </c>
      <c r="X84" s="173"/>
      <c r="Y84" s="173">
        <f t="shared" si="37"/>
        <v>0</v>
      </c>
      <c r="Z84" s="173"/>
      <c r="AA84" s="173">
        <f t="shared" ref="AA84" si="75">Z84-Z83</f>
        <v>0</v>
      </c>
      <c r="AB84" s="163"/>
      <c r="AC84" s="174">
        <f t="shared" ref="AC84" si="76">AB84-AB83</f>
        <v>0</v>
      </c>
      <c r="AG84" s="228">
        <v>370</v>
      </c>
      <c r="AH84" s="4"/>
      <c r="AI84" s="173">
        <f t="shared" si="40"/>
        <v>0</v>
      </c>
      <c r="AJ84" s="163"/>
      <c r="AK84" s="173">
        <f t="shared" si="41"/>
        <v>0</v>
      </c>
      <c r="AL84" s="163"/>
      <c r="AM84" s="4">
        <f t="shared" si="42"/>
        <v>0</v>
      </c>
      <c r="AN84" s="163"/>
      <c r="AO84" s="173">
        <f t="shared" si="43"/>
        <v>0</v>
      </c>
      <c r="AP84" s="4"/>
      <c r="AQ84" s="174">
        <f t="shared" si="44"/>
        <v>0</v>
      </c>
      <c r="AU84" s="228">
        <v>370</v>
      </c>
      <c r="AV84" s="173"/>
      <c r="AW84" s="173">
        <f t="shared" si="45"/>
        <v>0</v>
      </c>
      <c r="AX84" s="173"/>
      <c r="AY84" s="173">
        <f t="shared" si="46"/>
        <v>0</v>
      </c>
      <c r="AZ84" s="173"/>
      <c r="BA84" s="173">
        <f t="shared" si="47"/>
        <v>0</v>
      </c>
      <c r="BB84" s="173"/>
      <c r="BC84" s="173">
        <f t="shared" si="48"/>
        <v>0</v>
      </c>
      <c r="BD84" s="173"/>
      <c r="BE84" s="174">
        <f t="shared" si="49"/>
        <v>0</v>
      </c>
      <c r="BI84" s="228">
        <v>370</v>
      </c>
      <c r="BJ84" s="4"/>
      <c r="BK84" s="173">
        <f t="shared" si="50"/>
        <v>0</v>
      </c>
      <c r="BL84" s="4"/>
      <c r="BM84" s="173">
        <f t="shared" si="51"/>
        <v>0</v>
      </c>
      <c r="BN84" s="4"/>
      <c r="BO84" s="4">
        <f t="shared" si="52"/>
        <v>0</v>
      </c>
      <c r="BP84" s="4"/>
      <c r="BQ84" s="173">
        <f t="shared" si="53"/>
        <v>0</v>
      </c>
      <c r="BR84" s="4"/>
      <c r="BS84" s="174">
        <f t="shared" si="54"/>
        <v>0</v>
      </c>
      <c r="BW84" s="228">
        <v>370</v>
      </c>
      <c r="BX84" s="4"/>
      <c r="BY84" s="173">
        <f t="shared" si="55"/>
        <v>0</v>
      </c>
      <c r="BZ84" s="4"/>
      <c r="CA84" s="173">
        <f t="shared" si="56"/>
        <v>0</v>
      </c>
      <c r="CB84" s="4"/>
      <c r="CC84" s="4">
        <f t="shared" si="57"/>
        <v>0</v>
      </c>
      <c r="CD84" s="4"/>
      <c r="CE84" s="173">
        <f t="shared" si="58"/>
        <v>0</v>
      </c>
      <c r="CF84" s="4"/>
      <c r="CG84" s="174">
        <f t="shared" si="59"/>
        <v>0</v>
      </c>
      <c r="CK84" s="228">
        <v>370</v>
      </c>
      <c r="CL84" s="4"/>
      <c r="CM84" s="173">
        <f t="shared" si="60"/>
        <v>0</v>
      </c>
      <c r="CN84" s="4"/>
      <c r="CO84" s="173">
        <f t="shared" si="61"/>
        <v>0</v>
      </c>
      <c r="CP84" s="4"/>
      <c r="CQ84" s="4">
        <f t="shared" si="62"/>
        <v>0</v>
      </c>
      <c r="CR84" s="4"/>
      <c r="CS84" s="173">
        <f t="shared" si="63"/>
        <v>0</v>
      </c>
      <c r="CT84" s="4"/>
      <c r="CU84" s="174">
        <f t="shared" si="64"/>
        <v>0</v>
      </c>
    </row>
    <row r="85" spans="1:101" x14ac:dyDescent="0.35">
      <c r="A85" s="212" t="s">
        <v>384</v>
      </c>
      <c r="B85" s="29" t="s">
        <v>729</v>
      </c>
      <c r="C85" s="30">
        <v>390</v>
      </c>
      <c r="D85" s="49"/>
      <c r="E85" s="4"/>
      <c r="F85" s="4"/>
      <c r="G85" s="4"/>
      <c r="H85" s="4"/>
      <c r="I85" s="4"/>
      <c r="J85" s="4"/>
      <c r="K85" s="2"/>
      <c r="L85" s="4"/>
      <c r="M85" s="4"/>
      <c r="N85" s="4"/>
      <c r="O85" s="4"/>
      <c r="P85" s="4"/>
      <c r="Q85" s="4"/>
      <c r="S85" s="228">
        <v>380</v>
      </c>
      <c r="T85" s="173"/>
      <c r="U85" s="173">
        <f t="shared" si="35"/>
        <v>0</v>
      </c>
      <c r="V85" s="173"/>
      <c r="W85" s="173">
        <f t="shared" si="36"/>
        <v>0</v>
      </c>
      <c r="X85" s="173"/>
      <c r="Y85" s="173">
        <f t="shared" si="37"/>
        <v>0</v>
      </c>
      <c r="Z85" s="173"/>
      <c r="AA85" s="173">
        <f t="shared" ref="AA85" si="77">Z85-Z84</f>
        <v>0</v>
      </c>
      <c r="AB85" s="163"/>
      <c r="AC85" s="174">
        <f t="shared" ref="AC85" si="78">AB85-AB84</f>
        <v>0</v>
      </c>
      <c r="AG85" s="228">
        <v>380</v>
      </c>
      <c r="AH85" s="4"/>
      <c r="AI85" s="173">
        <f t="shared" si="40"/>
        <v>0</v>
      </c>
      <c r="AJ85" s="163"/>
      <c r="AK85" s="173">
        <f t="shared" si="41"/>
        <v>0</v>
      </c>
      <c r="AL85" s="163"/>
      <c r="AM85" s="4">
        <f t="shared" si="42"/>
        <v>0</v>
      </c>
      <c r="AN85" s="163"/>
      <c r="AO85" s="173">
        <f t="shared" si="43"/>
        <v>0</v>
      </c>
      <c r="AP85" s="4"/>
      <c r="AQ85" s="174">
        <f t="shared" si="44"/>
        <v>0</v>
      </c>
      <c r="AU85" s="228">
        <v>380</v>
      </c>
      <c r="AV85" s="173"/>
      <c r="AW85" s="173">
        <f t="shared" si="45"/>
        <v>0</v>
      </c>
      <c r="AX85" s="173"/>
      <c r="AY85" s="173">
        <f t="shared" si="46"/>
        <v>0</v>
      </c>
      <c r="AZ85" s="173"/>
      <c r="BA85" s="173">
        <f t="shared" si="47"/>
        <v>0</v>
      </c>
      <c r="BB85" s="173"/>
      <c r="BC85" s="173">
        <f t="shared" si="48"/>
        <v>0</v>
      </c>
      <c r="BD85" s="173"/>
      <c r="BE85" s="174">
        <f t="shared" si="49"/>
        <v>0</v>
      </c>
      <c r="BI85" s="228">
        <v>380</v>
      </c>
      <c r="BJ85" s="4"/>
      <c r="BK85" s="173">
        <f t="shared" si="50"/>
        <v>0</v>
      </c>
      <c r="BL85" s="4"/>
      <c r="BM85" s="173">
        <f t="shared" si="51"/>
        <v>0</v>
      </c>
      <c r="BN85" s="4"/>
      <c r="BO85" s="4">
        <f t="shared" si="52"/>
        <v>0</v>
      </c>
      <c r="BP85" s="4"/>
      <c r="BQ85" s="173">
        <f t="shared" si="53"/>
        <v>0</v>
      </c>
      <c r="BR85" s="4"/>
      <c r="BS85" s="174">
        <f t="shared" si="54"/>
        <v>0</v>
      </c>
      <c r="BW85" s="228">
        <v>380</v>
      </c>
      <c r="BX85" s="4"/>
      <c r="BY85" s="173">
        <f t="shared" si="55"/>
        <v>0</v>
      </c>
      <c r="BZ85" s="4"/>
      <c r="CA85" s="173">
        <f t="shared" si="56"/>
        <v>0</v>
      </c>
      <c r="CB85" s="4"/>
      <c r="CC85" s="4">
        <f t="shared" si="57"/>
        <v>0</v>
      </c>
      <c r="CD85" s="4"/>
      <c r="CE85" s="173">
        <f t="shared" si="58"/>
        <v>0</v>
      </c>
      <c r="CF85" s="4"/>
      <c r="CG85" s="174">
        <f t="shared" si="59"/>
        <v>0</v>
      </c>
      <c r="CK85" s="228">
        <v>380</v>
      </c>
      <c r="CL85" s="4"/>
      <c r="CM85" s="173">
        <f t="shared" si="60"/>
        <v>0</v>
      </c>
      <c r="CN85" s="4"/>
      <c r="CO85" s="173">
        <f t="shared" si="61"/>
        <v>0</v>
      </c>
      <c r="CP85" s="4"/>
      <c r="CQ85" s="4">
        <f t="shared" si="62"/>
        <v>0</v>
      </c>
      <c r="CR85" s="4"/>
      <c r="CS85" s="173">
        <f t="shared" si="63"/>
        <v>0</v>
      </c>
      <c r="CT85" s="4"/>
      <c r="CU85" s="174">
        <f t="shared" si="64"/>
        <v>0</v>
      </c>
    </row>
    <row r="86" spans="1:101" x14ac:dyDescent="0.35">
      <c r="A86" s="212" t="s">
        <v>365</v>
      </c>
      <c r="B86" s="29" t="s">
        <v>730</v>
      </c>
      <c r="C86" s="30">
        <v>400</v>
      </c>
      <c r="D86" s="49"/>
      <c r="E86" s="4"/>
      <c r="F86" s="4"/>
      <c r="G86" s="4"/>
      <c r="H86" s="4"/>
      <c r="I86" s="4"/>
      <c r="J86" s="4"/>
      <c r="K86" s="2"/>
      <c r="L86" s="4"/>
      <c r="M86" s="4"/>
      <c r="N86" s="4"/>
      <c r="O86" s="4"/>
      <c r="P86" s="4"/>
      <c r="Q86" s="4"/>
      <c r="S86" s="228">
        <v>390</v>
      </c>
      <c r="T86" s="173"/>
      <c r="U86" s="173">
        <f t="shared" si="35"/>
        <v>0</v>
      </c>
      <c r="V86" s="173"/>
      <c r="W86" s="173">
        <f t="shared" si="36"/>
        <v>0</v>
      </c>
      <c r="X86" s="173"/>
      <c r="Y86" s="173">
        <f t="shared" si="37"/>
        <v>0</v>
      </c>
      <c r="Z86" s="173"/>
      <c r="AA86" s="173">
        <f t="shared" ref="AA86" si="79">Z86-Z85</f>
        <v>0</v>
      </c>
      <c r="AB86" s="163"/>
      <c r="AC86" s="174">
        <f t="shared" ref="AC86" si="80">AB86-AB85</f>
        <v>0</v>
      </c>
      <c r="AG86" s="228">
        <v>390</v>
      </c>
      <c r="AH86" s="4"/>
      <c r="AI86" s="173">
        <f t="shared" si="40"/>
        <v>0</v>
      </c>
      <c r="AJ86" s="163"/>
      <c r="AK86" s="173">
        <f t="shared" si="41"/>
        <v>0</v>
      </c>
      <c r="AL86" s="163"/>
      <c r="AM86" s="173">
        <f t="shared" si="42"/>
        <v>0</v>
      </c>
      <c r="AN86" s="163"/>
      <c r="AO86" s="173">
        <f t="shared" si="43"/>
        <v>0</v>
      </c>
      <c r="AP86" s="4"/>
      <c r="AQ86" s="174">
        <f t="shared" si="44"/>
        <v>0</v>
      </c>
      <c r="AU86" s="228">
        <v>390</v>
      </c>
      <c r="AV86" s="173"/>
      <c r="AW86" s="173">
        <f t="shared" si="45"/>
        <v>0</v>
      </c>
      <c r="AX86" s="173"/>
      <c r="AY86" s="173">
        <f t="shared" si="46"/>
        <v>0</v>
      </c>
      <c r="AZ86" s="173"/>
      <c r="BA86" s="173">
        <f t="shared" si="47"/>
        <v>0</v>
      </c>
      <c r="BB86" s="173"/>
      <c r="BC86" s="173">
        <f t="shared" si="48"/>
        <v>0</v>
      </c>
      <c r="BD86" s="173"/>
      <c r="BE86" s="174">
        <f t="shared" si="49"/>
        <v>0</v>
      </c>
      <c r="BI86" s="228">
        <v>390</v>
      </c>
      <c r="BJ86" s="4"/>
      <c r="BK86" s="173">
        <f t="shared" si="50"/>
        <v>0</v>
      </c>
      <c r="BL86" s="4"/>
      <c r="BM86" s="173">
        <f t="shared" si="51"/>
        <v>0</v>
      </c>
      <c r="BN86" s="4"/>
      <c r="BO86" s="173">
        <f t="shared" si="52"/>
        <v>0</v>
      </c>
      <c r="BP86" s="4"/>
      <c r="BQ86" s="173">
        <f t="shared" si="53"/>
        <v>0</v>
      </c>
      <c r="BR86" s="4"/>
      <c r="BS86" s="174">
        <f t="shared" si="54"/>
        <v>0</v>
      </c>
      <c r="BW86" s="228">
        <v>390</v>
      </c>
      <c r="BX86" s="4"/>
      <c r="BY86" s="173">
        <f t="shared" si="55"/>
        <v>0</v>
      </c>
      <c r="BZ86" s="4"/>
      <c r="CA86" s="173">
        <f t="shared" si="56"/>
        <v>0</v>
      </c>
      <c r="CB86" s="4"/>
      <c r="CC86" s="173">
        <f t="shared" si="57"/>
        <v>0</v>
      </c>
      <c r="CD86" s="4"/>
      <c r="CE86" s="173">
        <f t="shared" si="58"/>
        <v>0</v>
      </c>
      <c r="CF86" s="4"/>
      <c r="CG86" s="174">
        <f t="shared" si="59"/>
        <v>0</v>
      </c>
      <c r="CK86" s="228">
        <v>390</v>
      </c>
      <c r="CL86" s="4"/>
      <c r="CM86" s="173">
        <f t="shared" si="60"/>
        <v>0</v>
      </c>
      <c r="CN86" s="4"/>
      <c r="CO86" s="173">
        <f t="shared" si="61"/>
        <v>0</v>
      </c>
      <c r="CP86" s="4"/>
      <c r="CQ86" s="173">
        <f t="shared" si="62"/>
        <v>0</v>
      </c>
      <c r="CR86" s="4"/>
      <c r="CS86" s="173">
        <f t="shared" si="63"/>
        <v>0</v>
      </c>
      <c r="CT86" s="4"/>
      <c r="CU86" s="174">
        <f t="shared" si="64"/>
        <v>0</v>
      </c>
    </row>
    <row r="87" spans="1:101" x14ac:dyDescent="0.35">
      <c r="A87" s="212" t="s">
        <v>385</v>
      </c>
      <c r="B87" s="29" t="s">
        <v>731</v>
      </c>
      <c r="C87" s="30">
        <v>410</v>
      </c>
      <c r="D87" s="49"/>
      <c r="E87" s="4"/>
      <c r="F87" s="4"/>
      <c r="G87" s="4"/>
      <c r="H87" s="4"/>
      <c r="I87" s="4"/>
      <c r="J87" s="4"/>
      <c r="K87" s="2"/>
      <c r="L87" s="4"/>
      <c r="M87" s="4"/>
      <c r="N87" s="4"/>
      <c r="O87" s="4"/>
      <c r="P87" s="4"/>
      <c r="Q87" s="4"/>
      <c r="S87" s="228">
        <v>400</v>
      </c>
      <c r="T87" s="173"/>
      <c r="U87" s="173">
        <f t="shared" si="35"/>
        <v>0</v>
      </c>
      <c r="V87" s="173"/>
      <c r="W87" s="173">
        <f t="shared" si="36"/>
        <v>0</v>
      </c>
      <c r="X87" s="173"/>
      <c r="Y87" s="173">
        <f t="shared" si="37"/>
        <v>0</v>
      </c>
      <c r="Z87" s="173"/>
      <c r="AA87" s="173">
        <f t="shared" ref="AA87" si="81">Z87-Z86</f>
        <v>0</v>
      </c>
      <c r="AB87" s="163"/>
      <c r="AC87" s="174">
        <f t="shared" ref="AC87" si="82">AB87-AB86</f>
        <v>0</v>
      </c>
      <c r="AG87" s="228">
        <v>400</v>
      </c>
      <c r="AH87" s="4"/>
      <c r="AI87" s="173">
        <f t="shared" si="40"/>
        <v>0</v>
      </c>
      <c r="AJ87" s="163"/>
      <c r="AK87" s="173">
        <f t="shared" si="41"/>
        <v>0</v>
      </c>
      <c r="AL87" s="163"/>
      <c r="AM87" s="173">
        <f t="shared" si="42"/>
        <v>0</v>
      </c>
      <c r="AN87" s="163"/>
      <c r="AO87" s="173">
        <f t="shared" si="43"/>
        <v>0</v>
      </c>
      <c r="AP87" s="4"/>
      <c r="AQ87" s="174">
        <f t="shared" si="44"/>
        <v>0</v>
      </c>
      <c r="AU87" s="228">
        <v>400</v>
      </c>
      <c r="AV87" s="173"/>
      <c r="AW87" s="173">
        <f t="shared" si="45"/>
        <v>0</v>
      </c>
      <c r="AX87" s="173"/>
      <c r="AY87" s="173">
        <f t="shared" si="46"/>
        <v>0</v>
      </c>
      <c r="AZ87" s="173"/>
      <c r="BA87" s="173">
        <f t="shared" si="47"/>
        <v>0</v>
      </c>
      <c r="BB87" s="173"/>
      <c r="BC87" s="173">
        <f t="shared" si="48"/>
        <v>0</v>
      </c>
      <c r="BD87" s="173"/>
      <c r="BE87" s="174">
        <f t="shared" si="49"/>
        <v>0</v>
      </c>
      <c r="BI87" s="228">
        <v>400</v>
      </c>
      <c r="BJ87" s="4"/>
      <c r="BK87" s="173">
        <f t="shared" si="50"/>
        <v>0</v>
      </c>
      <c r="BL87" s="4"/>
      <c r="BM87" s="173">
        <f t="shared" si="51"/>
        <v>0</v>
      </c>
      <c r="BN87" s="4"/>
      <c r="BO87" s="173">
        <f t="shared" si="52"/>
        <v>0</v>
      </c>
      <c r="BP87" s="4"/>
      <c r="BQ87" s="173">
        <f t="shared" si="53"/>
        <v>0</v>
      </c>
      <c r="BR87" s="4"/>
      <c r="BS87" s="174">
        <f t="shared" si="54"/>
        <v>0</v>
      </c>
      <c r="BW87" s="228">
        <v>400</v>
      </c>
      <c r="BX87" s="4"/>
      <c r="BY87" s="173">
        <f t="shared" si="55"/>
        <v>0</v>
      </c>
      <c r="BZ87" s="4"/>
      <c r="CA87" s="173">
        <f t="shared" si="56"/>
        <v>0</v>
      </c>
      <c r="CB87" s="4"/>
      <c r="CC87" s="173">
        <f t="shared" si="57"/>
        <v>0</v>
      </c>
      <c r="CD87" s="4"/>
      <c r="CE87" s="173">
        <f t="shared" si="58"/>
        <v>0</v>
      </c>
      <c r="CF87" s="4"/>
      <c r="CG87" s="174">
        <f t="shared" si="59"/>
        <v>0</v>
      </c>
      <c r="CK87" s="228">
        <v>400</v>
      </c>
      <c r="CL87" s="4"/>
      <c r="CM87" s="173">
        <f t="shared" si="60"/>
        <v>0</v>
      </c>
      <c r="CN87" s="4"/>
      <c r="CO87" s="173">
        <f t="shared" si="61"/>
        <v>0</v>
      </c>
      <c r="CP87" s="4"/>
      <c r="CQ87" s="173">
        <f t="shared" si="62"/>
        <v>0</v>
      </c>
      <c r="CR87" s="4"/>
      <c r="CS87" s="173">
        <f t="shared" si="63"/>
        <v>0</v>
      </c>
      <c r="CT87" s="4"/>
      <c r="CU87" s="174">
        <f t="shared" si="64"/>
        <v>0</v>
      </c>
    </row>
    <row r="88" spans="1:101" x14ac:dyDescent="0.35">
      <c r="A88" s="212" t="s">
        <v>366</v>
      </c>
      <c r="B88" s="29" t="s">
        <v>732</v>
      </c>
      <c r="C88" s="30">
        <v>420</v>
      </c>
      <c r="D88" s="49"/>
      <c r="E88" s="4"/>
      <c r="F88" s="4"/>
      <c r="G88" s="4"/>
      <c r="H88" s="4"/>
      <c r="I88" s="4"/>
      <c r="J88" s="4"/>
      <c r="K88" s="2"/>
      <c r="L88" s="4"/>
      <c r="M88" s="4"/>
      <c r="N88" s="4"/>
      <c r="O88" s="4"/>
      <c r="P88" s="4"/>
      <c r="Q88" s="4"/>
      <c r="S88" s="228">
        <v>410</v>
      </c>
      <c r="T88" s="173"/>
      <c r="U88" s="173">
        <f t="shared" si="35"/>
        <v>0</v>
      </c>
      <c r="V88" s="173"/>
      <c r="W88" s="173">
        <f t="shared" si="36"/>
        <v>0</v>
      </c>
      <c r="X88" s="173"/>
      <c r="Y88" s="173">
        <f t="shared" si="37"/>
        <v>0</v>
      </c>
      <c r="Z88" s="173"/>
      <c r="AA88" s="173">
        <f t="shared" ref="AA88" si="83">Z88-Z87</f>
        <v>0</v>
      </c>
      <c r="AB88" s="163"/>
      <c r="AC88" s="174">
        <f t="shared" ref="AC88" si="84">AB88-AB87</f>
        <v>0</v>
      </c>
      <c r="AG88" s="228">
        <v>410</v>
      </c>
      <c r="AH88" s="4"/>
      <c r="AI88" s="173">
        <f t="shared" si="40"/>
        <v>0</v>
      </c>
      <c r="AJ88" s="163"/>
      <c r="AK88" s="173">
        <f t="shared" si="41"/>
        <v>0</v>
      </c>
      <c r="AL88" s="163"/>
      <c r="AM88" s="173">
        <f t="shared" si="42"/>
        <v>0</v>
      </c>
      <c r="AN88" s="163"/>
      <c r="AO88" s="4">
        <f t="shared" si="43"/>
        <v>0</v>
      </c>
      <c r="AP88" s="4"/>
      <c r="AQ88" s="174">
        <f t="shared" si="44"/>
        <v>0</v>
      </c>
      <c r="AU88" s="228">
        <v>410</v>
      </c>
      <c r="AV88" s="173"/>
      <c r="AW88" s="173">
        <f t="shared" si="45"/>
        <v>0</v>
      </c>
      <c r="AX88" s="173"/>
      <c r="AY88" s="173">
        <f t="shared" si="46"/>
        <v>0</v>
      </c>
      <c r="AZ88" s="173"/>
      <c r="BA88" s="173">
        <f t="shared" si="47"/>
        <v>0</v>
      </c>
      <c r="BB88" s="173"/>
      <c r="BC88" s="173">
        <f t="shared" si="48"/>
        <v>0</v>
      </c>
      <c r="BD88" s="173"/>
      <c r="BE88" s="174">
        <f t="shared" si="49"/>
        <v>0</v>
      </c>
      <c r="BI88" s="228">
        <v>410</v>
      </c>
      <c r="BJ88" s="4"/>
      <c r="BK88" s="173">
        <f t="shared" si="50"/>
        <v>0</v>
      </c>
      <c r="BL88" s="4"/>
      <c r="BM88" s="173">
        <f t="shared" si="51"/>
        <v>0</v>
      </c>
      <c r="BN88" s="4"/>
      <c r="BO88" s="173">
        <f t="shared" si="52"/>
        <v>0</v>
      </c>
      <c r="BP88" s="4"/>
      <c r="BQ88" s="4">
        <f t="shared" si="53"/>
        <v>0</v>
      </c>
      <c r="BR88" s="4"/>
      <c r="BS88" s="174">
        <f t="shared" si="54"/>
        <v>0</v>
      </c>
      <c r="BW88" s="228">
        <v>410</v>
      </c>
      <c r="BX88" s="4"/>
      <c r="BY88" s="173">
        <f t="shared" si="55"/>
        <v>0</v>
      </c>
      <c r="BZ88" s="4"/>
      <c r="CA88" s="173">
        <f t="shared" si="56"/>
        <v>0</v>
      </c>
      <c r="CB88" s="4"/>
      <c r="CC88" s="173">
        <f t="shared" si="57"/>
        <v>0</v>
      </c>
      <c r="CD88" s="4"/>
      <c r="CE88" s="4">
        <f t="shared" si="58"/>
        <v>0</v>
      </c>
      <c r="CF88" s="4"/>
      <c r="CG88" s="174">
        <f t="shared" si="59"/>
        <v>0</v>
      </c>
      <c r="CK88" s="228">
        <v>410</v>
      </c>
      <c r="CL88" s="4"/>
      <c r="CM88" s="173">
        <f t="shared" si="60"/>
        <v>0</v>
      </c>
      <c r="CN88" s="4"/>
      <c r="CO88" s="173">
        <f t="shared" si="61"/>
        <v>0</v>
      </c>
      <c r="CP88" s="4"/>
      <c r="CQ88" s="173">
        <f t="shared" si="62"/>
        <v>0</v>
      </c>
      <c r="CR88" s="4"/>
      <c r="CS88" s="4">
        <f t="shared" si="63"/>
        <v>0</v>
      </c>
      <c r="CT88" s="4"/>
      <c r="CU88" s="174">
        <f t="shared" si="64"/>
        <v>0</v>
      </c>
    </row>
    <row r="89" spans="1:101" x14ac:dyDescent="0.35">
      <c r="A89" s="212" t="s">
        <v>387</v>
      </c>
      <c r="B89" s="29" t="s">
        <v>733</v>
      </c>
      <c r="C89" s="30">
        <v>430</v>
      </c>
      <c r="D89" s="49"/>
      <c r="E89" s="4"/>
      <c r="F89" s="4"/>
      <c r="G89" s="4"/>
      <c r="H89" s="4"/>
      <c r="I89" s="4"/>
      <c r="J89" s="4"/>
      <c r="K89" s="2"/>
      <c r="L89" s="4"/>
      <c r="M89" s="4"/>
      <c r="N89" s="4"/>
      <c r="O89" s="4"/>
      <c r="P89" s="4"/>
      <c r="Q89" s="4"/>
      <c r="S89" s="228">
        <v>420</v>
      </c>
      <c r="T89" s="173"/>
      <c r="U89" s="173">
        <f t="shared" si="35"/>
        <v>0</v>
      </c>
      <c r="V89" s="173"/>
      <c r="W89" s="173">
        <f t="shared" si="36"/>
        <v>0</v>
      </c>
      <c r="X89" s="173"/>
      <c r="Y89" s="173">
        <f t="shared" si="37"/>
        <v>0</v>
      </c>
      <c r="Z89" s="173"/>
      <c r="AA89" s="173">
        <f t="shared" ref="AA89" si="85">Z89-Z88</f>
        <v>0</v>
      </c>
      <c r="AB89" s="163"/>
      <c r="AC89" s="174">
        <f t="shared" ref="AC89" si="86">AB89-AB88</f>
        <v>0</v>
      </c>
      <c r="AG89" s="228">
        <v>420</v>
      </c>
      <c r="AH89" s="4"/>
      <c r="AI89" s="4">
        <f t="shared" si="40"/>
        <v>0</v>
      </c>
      <c r="AJ89" s="163"/>
      <c r="AK89" s="173">
        <f t="shared" si="41"/>
        <v>0</v>
      </c>
      <c r="AL89" s="163"/>
      <c r="AM89" s="173">
        <f t="shared" si="42"/>
        <v>0</v>
      </c>
      <c r="AN89" s="163"/>
      <c r="AO89" s="173">
        <f t="shared" si="43"/>
        <v>0</v>
      </c>
      <c r="AP89" s="4"/>
      <c r="AQ89" s="174">
        <f t="shared" si="44"/>
        <v>0</v>
      </c>
      <c r="AU89" s="228">
        <v>420</v>
      </c>
      <c r="AV89" s="173"/>
      <c r="AW89" s="173">
        <f t="shared" si="45"/>
        <v>0</v>
      </c>
      <c r="AX89" s="173"/>
      <c r="AY89" s="173">
        <f t="shared" si="46"/>
        <v>0</v>
      </c>
      <c r="AZ89" s="173"/>
      <c r="BA89" s="173">
        <f t="shared" si="47"/>
        <v>0</v>
      </c>
      <c r="BB89" s="173"/>
      <c r="BC89" s="173">
        <f t="shared" si="48"/>
        <v>0</v>
      </c>
      <c r="BD89" s="173"/>
      <c r="BE89" s="174">
        <f t="shared" si="49"/>
        <v>0</v>
      </c>
      <c r="BI89" s="228">
        <v>420</v>
      </c>
      <c r="BJ89" s="4"/>
      <c r="BK89" s="4">
        <f t="shared" si="50"/>
        <v>0</v>
      </c>
      <c r="BL89" s="4"/>
      <c r="BM89" s="173">
        <f t="shared" si="51"/>
        <v>0</v>
      </c>
      <c r="BN89" s="4"/>
      <c r="BO89" s="173">
        <f t="shared" si="52"/>
        <v>0</v>
      </c>
      <c r="BP89" s="4"/>
      <c r="BQ89" s="173">
        <f t="shared" si="53"/>
        <v>0</v>
      </c>
      <c r="BR89" s="4"/>
      <c r="BS89" s="174">
        <f t="shared" si="54"/>
        <v>0</v>
      </c>
      <c r="BW89" s="228">
        <v>420</v>
      </c>
      <c r="BX89" s="4"/>
      <c r="BY89" s="4">
        <f t="shared" si="55"/>
        <v>0</v>
      </c>
      <c r="BZ89" s="4"/>
      <c r="CA89" s="173">
        <f t="shared" si="56"/>
        <v>0</v>
      </c>
      <c r="CB89" s="4"/>
      <c r="CC89" s="173">
        <f t="shared" si="57"/>
        <v>0</v>
      </c>
      <c r="CD89" s="4"/>
      <c r="CE89" s="173">
        <f t="shared" si="58"/>
        <v>0</v>
      </c>
      <c r="CF89" s="4"/>
      <c r="CG89" s="174">
        <f t="shared" si="59"/>
        <v>0</v>
      </c>
      <c r="CK89" s="228">
        <v>420</v>
      </c>
      <c r="CL89" s="4"/>
      <c r="CM89" s="4">
        <f t="shared" si="60"/>
        <v>0</v>
      </c>
      <c r="CN89" s="4"/>
      <c r="CO89" s="173">
        <f t="shared" si="61"/>
        <v>0</v>
      </c>
      <c r="CP89" s="4"/>
      <c r="CQ89" s="173">
        <f t="shared" si="62"/>
        <v>0</v>
      </c>
      <c r="CR89" s="4"/>
      <c r="CS89" s="173">
        <f t="shared" si="63"/>
        <v>0</v>
      </c>
      <c r="CT89" s="4"/>
      <c r="CU89" s="174">
        <f t="shared" si="64"/>
        <v>0</v>
      </c>
    </row>
    <row r="90" spans="1:101" x14ac:dyDescent="0.35">
      <c r="A90" s="212" t="s">
        <v>367</v>
      </c>
      <c r="B90" s="29" t="s">
        <v>734</v>
      </c>
      <c r="C90" s="30">
        <v>440</v>
      </c>
      <c r="D90" s="49"/>
      <c r="E90" s="4"/>
      <c r="F90" s="4"/>
      <c r="G90" s="4"/>
      <c r="H90" s="4"/>
      <c r="I90" s="4"/>
      <c r="J90" s="4"/>
      <c r="K90" s="2"/>
      <c r="L90" s="4"/>
      <c r="M90" s="4"/>
      <c r="N90" s="4"/>
      <c r="O90" s="4"/>
      <c r="P90" s="4"/>
      <c r="Q90" s="4"/>
      <c r="S90" s="228">
        <v>430</v>
      </c>
      <c r="T90" s="173"/>
      <c r="U90" s="173">
        <f t="shared" si="35"/>
        <v>0</v>
      </c>
      <c r="V90" s="173"/>
      <c r="W90" s="173">
        <f t="shared" si="36"/>
        <v>0</v>
      </c>
      <c r="X90" s="173"/>
      <c r="Y90" s="173">
        <f t="shared" si="37"/>
        <v>0</v>
      </c>
      <c r="Z90" s="173"/>
      <c r="AA90" s="173">
        <f t="shared" ref="AA90" si="87">Z90-Z89</f>
        <v>0</v>
      </c>
      <c r="AB90" s="163"/>
      <c r="AC90" s="174">
        <f t="shared" ref="AC90" si="88">AB90-AB89</f>
        <v>0</v>
      </c>
      <c r="AG90" s="228">
        <v>430</v>
      </c>
      <c r="AH90" s="4"/>
      <c r="AI90" s="4">
        <f t="shared" si="40"/>
        <v>0</v>
      </c>
      <c r="AJ90" s="163"/>
      <c r="AK90" s="173">
        <f t="shared" si="41"/>
        <v>0</v>
      </c>
      <c r="AL90" s="163"/>
      <c r="AM90" s="173">
        <f t="shared" si="42"/>
        <v>0</v>
      </c>
      <c r="AN90" s="163"/>
      <c r="AO90" s="173">
        <f t="shared" si="43"/>
        <v>0</v>
      </c>
      <c r="AP90" s="4"/>
      <c r="AQ90" s="174">
        <f t="shared" si="44"/>
        <v>0</v>
      </c>
      <c r="AU90" s="228">
        <v>430</v>
      </c>
      <c r="AV90" s="173"/>
      <c r="AW90" s="173">
        <f t="shared" si="45"/>
        <v>0</v>
      </c>
      <c r="AX90" s="173"/>
      <c r="AY90" s="173">
        <f t="shared" si="46"/>
        <v>0</v>
      </c>
      <c r="AZ90" s="173"/>
      <c r="BA90" s="173">
        <f t="shared" si="47"/>
        <v>0</v>
      </c>
      <c r="BB90" s="173"/>
      <c r="BC90" s="173">
        <f t="shared" si="48"/>
        <v>0</v>
      </c>
      <c r="BD90" s="173"/>
      <c r="BE90" s="174">
        <f t="shared" si="49"/>
        <v>0</v>
      </c>
      <c r="BI90" s="228">
        <v>430</v>
      </c>
      <c r="BJ90" s="4"/>
      <c r="BK90" s="4">
        <f t="shared" si="50"/>
        <v>0</v>
      </c>
      <c r="BL90" s="4"/>
      <c r="BM90" s="173">
        <f t="shared" si="51"/>
        <v>0</v>
      </c>
      <c r="BN90" s="4"/>
      <c r="BO90" s="173">
        <f t="shared" si="52"/>
        <v>0</v>
      </c>
      <c r="BP90" s="4"/>
      <c r="BQ90" s="173">
        <f t="shared" si="53"/>
        <v>0</v>
      </c>
      <c r="BR90" s="4"/>
      <c r="BS90" s="174">
        <f t="shared" si="54"/>
        <v>0</v>
      </c>
      <c r="BW90" s="228">
        <v>430</v>
      </c>
      <c r="BX90" s="4"/>
      <c r="BY90" s="4">
        <f t="shared" si="55"/>
        <v>0</v>
      </c>
      <c r="BZ90" s="4"/>
      <c r="CA90" s="173">
        <f t="shared" si="56"/>
        <v>0</v>
      </c>
      <c r="CB90" s="4"/>
      <c r="CC90" s="173">
        <f t="shared" si="57"/>
        <v>0</v>
      </c>
      <c r="CD90" s="4"/>
      <c r="CE90" s="173">
        <f t="shared" si="58"/>
        <v>0</v>
      </c>
      <c r="CF90" s="4"/>
      <c r="CG90" s="174">
        <f t="shared" si="59"/>
        <v>0</v>
      </c>
      <c r="CK90" s="228">
        <v>430</v>
      </c>
      <c r="CL90" s="4"/>
      <c r="CM90" s="4">
        <f t="shared" si="60"/>
        <v>0</v>
      </c>
      <c r="CN90" s="4"/>
      <c r="CO90" s="173">
        <f t="shared" si="61"/>
        <v>0</v>
      </c>
      <c r="CP90" s="4"/>
      <c r="CQ90" s="173">
        <f t="shared" si="62"/>
        <v>0</v>
      </c>
      <c r="CR90" s="4"/>
      <c r="CS90" s="173">
        <f t="shared" si="63"/>
        <v>0</v>
      </c>
      <c r="CT90" s="4"/>
      <c r="CU90" s="174">
        <f t="shared" si="64"/>
        <v>0</v>
      </c>
    </row>
    <row r="91" spans="1:101" x14ac:dyDescent="0.35">
      <c r="A91" s="212" t="s">
        <v>390</v>
      </c>
      <c r="B91" s="29" t="s">
        <v>735</v>
      </c>
      <c r="C91" s="30">
        <v>450</v>
      </c>
      <c r="D91" s="49"/>
      <c r="E91" s="4"/>
      <c r="F91" s="4"/>
      <c r="G91" s="4"/>
      <c r="H91" s="4"/>
      <c r="I91" s="4"/>
      <c r="J91" s="4"/>
      <c r="K91" s="2"/>
      <c r="L91" s="4"/>
      <c r="M91" s="4"/>
      <c r="N91" s="4"/>
      <c r="O91" s="4"/>
      <c r="P91" s="4"/>
      <c r="Q91" s="4"/>
      <c r="S91" s="228">
        <v>440</v>
      </c>
      <c r="T91" s="173"/>
      <c r="U91" s="173">
        <f t="shared" si="35"/>
        <v>0</v>
      </c>
      <c r="V91" s="173"/>
      <c r="W91" s="173">
        <f t="shared" si="36"/>
        <v>0</v>
      </c>
      <c r="X91" s="173"/>
      <c r="Y91" s="173">
        <f t="shared" si="37"/>
        <v>0</v>
      </c>
      <c r="Z91" s="173"/>
      <c r="AA91" s="173">
        <f t="shared" ref="AA91" si="89">Z91-Z90</f>
        <v>0</v>
      </c>
      <c r="AB91" s="163"/>
      <c r="AC91" s="174">
        <f t="shared" ref="AC91" si="90">AB91-AB90</f>
        <v>0</v>
      </c>
      <c r="AG91" s="228">
        <v>440</v>
      </c>
      <c r="AH91" s="4"/>
      <c r="AI91" s="4">
        <f t="shared" si="40"/>
        <v>0</v>
      </c>
      <c r="AJ91" s="163"/>
      <c r="AK91" s="173">
        <f t="shared" si="41"/>
        <v>0</v>
      </c>
      <c r="AL91" s="163"/>
      <c r="AM91" s="173">
        <f t="shared" si="42"/>
        <v>0</v>
      </c>
      <c r="AN91" s="163"/>
      <c r="AO91" s="173">
        <f t="shared" si="43"/>
        <v>0</v>
      </c>
      <c r="AP91" s="4"/>
      <c r="AQ91" s="174">
        <f t="shared" si="44"/>
        <v>0</v>
      </c>
      <c r="AU91" s="228">
        <v>440</v>
      </c>
      <c r="AV91" s="173"/>
      <c r="AW91" s="173">
        <f t="shared" si="45"/>
        <v>0</v>
      </c>
      <c r="AX91" s="173"/>
      <c r="AY91" s="173">
        <f t="shared" si="46"/>
        <v>0</v>
      </c>
      <c r="AZ91" s="173"/>
      <c r="BA91" s="173">
        <f t="shared" si="47"/>
        <v>0</v>
      </c>
      <c r="BB91" s="173"/>
      <c r="BC91" s="173">
        <f t="shared" si="48"/>
        <v>0</v>
      </c>
      <c r="BD91" s="173"/>
      <c r="BE91" s="174">
        <f t="shared" si="49"/>
        <v>0</v>
      </c>
      <c r="BI91" s="228">
        <v>440</v>
      </c>
      <c r="BJ91" s="4"/>
      <c r="BK91" s="4">
        <f t="shared" si="50"/>
        <v>0</v>
      </c>
      <c r="BL91" s="4"/>
      <c r="BM91" s="173">
        <f t="shared" si="51"/>
        <v>0</v>
      </c>
      <c r="BN91" s="4"/>
      <c r="BO91" s="173">
        <f t="shared" si="52"/>
        <v>0</v>
      </c>
      <c r="BP91" s="4"/>
      <c r="BQ91" s="173">
        <f t="shared" si="53"/>
        <v>0</v>
      </c>
      <c r="BR91" s="4"/>
      <c r="BS91" s="174">
        <f t="shared" si="54"/>
        <v>0</v>
      </c>
      <c r="BW91" s="228">
        <v>440</v>
      </c>
      <c r="BX91" s="4"/>
      <c r="BY91" s="4">
        <f t="shared" si="55"/>
        <v>0</v>
      </c>
      <c r="BZ91" s="4"/>
      <c r="CA91" s="173">
        <f t="shared" si="56"/>
        <v>0</v>
      </c>
      <c r="CB91" s="4"/>
      <c r="CC91" s="173">
        <f t="shared" si="57"/>
        <v>0</v>
      </c>
      <c r="CD91" s="4"/>
      <c r="CE91" s="173">
        <f t="shared" si="58"/>
        <v>0</v>
      </c>
      <c r="CF91" s="4"/>
      <c r="CG91" s="174">
        <f t="shared" si="59"/>
        <v>0</v>
      </c>
      <c r="CK91" s="228">
        <v>440</v>
      </c>
      <c r="CL91" s="4"/>
      <c r="CM91" s="4">
        <f t="shared" si="60"/>
        <v>0</v>
      </c>
      <c r="CN91" s="4"/>
      <c r="CO91" s="173">
        <f t="shared" si="61"/>
        <v>0</v>
      </c>
      <c r="CP91" s="4"/>
      <c r="CQ91" s="173">
        <f t="shared" si="62"/>
        <v>0</v>
      </c>
      <c r="CR91" s="4"/>
      <c r="CS91" s="173">
        <f t="shared" si="63"/>
        <v>0</v>
      </c>
      <c r="CT91" s="4"/>
      <c r="CU91" s="174">
        <f t="shared" si="64"/>
        <v>0</v>
      </c>
    </row>
    <row r="92" spans="1:101" x14ac:dyDescent="0.35">
      <c r="A92" s="212" t="s">
        <v>368</v>
      </c>
      <c r="B92" s="29" t="s">
        <v>736</v>
      </c>
      <c r="C92" s="30">
        <v>460</v>
      </c>
      <c r="D92" s="49"/>
      <c r="E92" s="4"/>
      <c r="F92" s="4"/>
      <c r="G92" s="4"/>
      <c r="H92" s="4"/>
      <c r="I92" s="4"/>
      <c r="J92" s="4"/>
      <c r="K92" s="2"/>
      <c r="L92" s="4"/>
      <c r="M92" s="4"/>
      <c r="N92" s="4"/>
      <c r="O92" s="4"/>
      <c r="P92" s="4"/>
      <c r="Q92" s="4"/>
      <c r="S92" s="228">
        <v>450</v>
      </c>
      <c r="T92" s="173"/>
      <c r="U92" s="173">
        <f t="shared" si="35"/>
        <v>0</v>
      </c>
      <c r="V92" s="173"/>
      <c r="W92" s="173">
        <f t="shared" si="36"/>
        <v>0</v>
      </c>
      <c r="X92" s="173"/>
      <c r="Y92" s="173">
        <f t="shared" si="37"/>
        <v>0</v>
      </c>
      <c r="Z92" s="173"/>
      <c r="AA92" s="173">
        <f t="shared" ref="AA92" si="91">Z92-Z91</f>
        <v>0</v>
      </c>
      <c r="AB92" s="163"/>
      <c r="AC92" s="174">
        <f t="shared" ref="AC92" si="92">AB92-AB91</f>
        <v>0</v>
      </c>
      <c r="AG92" s="228">
        <v>450</v>
      </c>
      <c r="AH92" s="4"/>
      <c r="AI92" s="4">
        <f t="shared" si="40"/>
        <v>0</v>
      </c>
      <c r="AJ92" s="163"/>
      <c r="AK92" s="173">
        <f t="shared" si="41"/>
        <v>0</v>
      </c>
      <c r="AL92" s="163"/>
      <c r="AM92" s="173">
        <f t="shared" si="42"/>
        <v>0</v>
      </c>
      <c r="AN92" s="163"/>
      <c r="AO92" s="173">
        <f t="shared" si="43"/>
        <v>0</v>
      </c>
      <c r="AP92" s="4"/>
      <c r="AQ92" s="174">
        <f t="shared" si="44"/>
        <v>0</v>
      </c>
      <c r="AU92" s="228">
        <v>450</v>
      </c>
      <c r="AV92" s="173"/>
      <c r="AW92" s="173">
        <f t="shared" si="45"/>
        <v>0</v>
      </c>
      <c r="AX92" s="173"/>
      <c r="AY92" s="173">
        <f t="shared" si="46"/>
        <v>0</v>
      </c>
      <c r="AZ92" s="173"/>
      <c r="BA92" s="173">
        <f t="shared" si="47"/>
        <v>0</v>
      </c>
      <c r="BB92" s="173"/>
      <c r="BC92" s="173">
        <f t="shared" si="48"/>
        <v>0</v>
      </c>
      <c r="BD92" s="173"/>
      <c r="BE92" s="174">
        <f t="shared" si="49"/>
        <v>0</v>
      </c>
      <c r="BI92" s="228">
        <v>450</v>
      </c>
      <c r="BJ92" s="4"/>
      <c r="BK92" s="4">
        <f t="shared" si="50"/>
        <v>0</v>
      </c>
      <c r="BL92" s="4"/>
      <c r="BM92" s="173">
        <f t="shared" si="51"/>
        <v>0</v>
      </c>
      <c r="BN92" s="4"/>
      <c r="BO92" s="173">
        <f t="shared" si="52"/>
        <v>0</v>
      </c>
      <c r="BP92" s="4"/>
      <c r="BQ92" s="173">
        <f t="shared" si="53"/>
        <v>0</v>
      </c>
      <c r="BR92" s="4"/>
      <c r="BS92" s="174">
        <f t="shared" si="54"/>
        <v>0</v>
      </c>
      <c r="BW92" s="228">
        <v>450</v>
      </c>
      <c r="BX92" s="4"/>
      <c r="BY92" s="4">
        <f t="shared" si="55"/>
        <v>0</v>
      </c>
      <c r="BZ92" s="4"/>
      <c r="CA92" s="173">
        <f t="shared" si="56"/>
        <v>0</v>
      </c>
      <c r="CB92" s="4"/>
      <c r="CC92" s="173">
        <f t="shared" si="57"/>
        <v>0</v>
      </c>
      <c r="CD92" s="4"/>
      <c r="CE92" s="173">
        <f t="shared" si="58"/>
        <v>0</v>
      </c>
      <c r="CF92" s="4"/>
      <c r="CG92" s="174">
        <f t="shared" si="59"/>
        <v>0</v>
      </c>
      <c r="CK92" s="228">
        <v>450</v>
      </c>
      <c r="CL92" s="4"/>
      <c r="CM92" s="4">
        <f t="shared" si="60"/>
        <v>0</v>
      </c>
      <c r="CN92" s="4"/>
      <c r="CO92" s="173">
        <f t="shared" si="61"/>
        <v>0</v>
      </c>
      <c r="CP92" s="4"/>
      <c r="CQ92" s="173">
        <f t="shared" si="62"/>
        <v>0</v>
      </c>
      <c r="CR92" s="4"/>
      <c r="CS92" s="173">
        <f t="shared" si="63"/>
        <v>0</v>
      </c>
      <c r="CT92" s="4"/>
      <c r="CU92" s="174">
        <f t="shared" si="64"/>
        <v>0</v>
      </c>
    </row>
    <row r="93" spans="1:101" x14ac:dyDescent="0.35">
      <c r="A93" s="212" t="s">
        <v>392</v>
      </c>
      <c r="B93" s="29" t="s">
        <v>737</v>
      </c>
      <c r="C93" s="30">
        <v>470</v>
      </c>
      <c r="D93" s="49"/>
      <c r="E93" s="4"/>
      <c r="F93" s="4"/>
      <c r="G93" s="4"/>
      <c r="H93" s="4"/>
      <c r="I93" s="4"/>
      <c r="J93" s="4"/>
      <c r="K93" s="2"/>
      <c r="L93" s="4"/>
      <c r="M93" s="4"/>
      <c r="N93" s="4"/>
      <c r="O93" s="4"/>
      <c r="P93" s="4"/>
      <c r="Q93" s="4"/>
      <c r="S93" s="228">
        <v>460</v>
      </c>
      <c r="T93" s="173"/>
      <c r="U93" s="173">
        <f t="shared" si="35"/>
        <v>0</v>
      </c>
      <c r="V93" s="173"/>
      <c r="W93" s="173">
        <f t="shared" si="36"/>
        <v>0</v>
      </c>
      <c r="X93" s="173"/>
      <c r="Y93" s="173">
        <f t="shared" si="37"/>
        <v>0</v>
      </c>
      <c r="Z93" s="173"/>
      <c r="AA93" s="173">
        <f t="shared" ref="AA93" si="93">Z93-Z92</f>
        <v>0</v>
      </c>
      <c r="AB93" s="163"/>
      <c r="AC93" s="174">
        <f t="shared" ref="AC93" si="94">AB93-AB92</f>
        <v>0</v>
      </c>
      <c r="AG93" s="228">
        <v>460</v>
      </c>
      <c r="AH93" s="4"/>
      <c r="AI93" s="4">
        <f t="shared" si="40"/>
        <v>0</v>
      </c>
      <c r="AJ93" s="163"/>
      <c r="AK93" s="4">
        <f t="shared" si="41"/>
        <v>0</v>
      </c>
      <c r="AL93" s="163"/>
      <c r="AM93" s="173">
        <f t="shared" si="42"/>
        <v>0</v>
      </c>
      <c r="AN93" s="163"/>
      <c r="AO93" s="4">
        <f t="shared" si="43"/>
        <v>0</v>
      </c>
      <c r="AP93" s="4"/>
      <c r="AQ93" s="174">
        <f t="shared" si="44"/>
        <v>0</v>
      </c>
      <c r="AU93" s="228">
        <v>460</v>
      </c>
      <c r="AV93" s="173"/>
      <c r="AW93" s="173">
        <f t="shared" si="45"/>
        <v>0</v>
      </c>
      <c r="AX93" s="173"/>
      <c r="AY93" s="173">
        <f t="shared" si="46"/>
        <v>0</v>
      </c>
      <c r="AZ93" s="173"/>
      <c r="BA93" s="173">
        <f t="shared" si="47"/>
        <v>0</v>
      </c>
      <c r="BB93" s="173"/>
      <c r="BC93" s="173">
        <f t="shared" si="48"/>
        <v>0</v>
      </c>
      <c r="BD93" s="173"/>
      <c r="BE93" s="174">
        <f t="shared" si="49"/>
        <v>0</v>
      </c>
      <c r="BI93" s="228">
        <v>460</v>
      </c>
      <c r="BJ93" s="4"/>
      <c r="BK93" s="4">
        <f t="shared" si="50"/>
        <v>0</v>
      </c>
      <c r="BL93" s="4"/>
      <c r="BM93" s="4">
        <f t="shared" si="51"/>
        <v>0</v>
      </c>
      <c r="BN93" s="4"/>
      <c r="BO93" s="173">
        <f t="shared" si="52"/>
        <v>0</v>
      </c>
      <c r="BP93" s="4"/>
      <c r="BQ93" s="4">
        <f t="shared" si="53"/>
        <v>0</v>
      </c>
      <c r="BR93" s="4"/>
      <c r="BS93" s="174">
        <f t="shared" si="54"/>
        <v>0</v>
      </c>
      <c r="BW93" s="228">
        <v>460</v>
      </c>
      <c r="BX93" s="4"/>
      <c r="BY93" s="4">
        <f t="shared" si="55"/>
        <v>0</v>
      </c>
      <c r="BZ93" s="4"/>
      <c r="CA93" s="4">
        <f t="shared" si="56"/>
        <v>0</v>
      </c>
      <c r="CB93" s="4"/>
      <c r="CC93" s="173">
        <f t="shared" si="57"/>
        <v>0</v>
      </c>
      <c r="CD93" s="4"/>
      <c r="CE93" s="4">
        <f t="shared" si="58"/>
        <v>0</v>
      </c>
      <c r="CF93" s="4"/>
      <c r="CG93" s="174">
        <f t="shared" si="59"/>
        <v>0</v>
      </c>
      <c r="CK93" s="228">
        <v>460</v>
      </c>
      <c r="CL93" s="4"/>
      <c r="CM93" s="4">
        <f t="shared" si="60"/>
        <v>0</v>
      </c>
      <c r="CN93" s="4"/>
      <c r="CO93" s="4">
        <f t="shared" si="61"/>
        <v>0</v>
      </c>
      <c r="CP93" s="4"/>
      <c r="CQ93" s="173">
        <f t="shared" si="62"/>
        <v>0</v>
      </c>
      <c r="CR93" s="4"/>
      <c r="CS93" s="4">
        <f t="shared" si="63"/>
        <v>0</v>
      </c>
      <c r="CT93" s="4"/>
      <c r="CU93" s="174">
        <f t="shared" si="64"/>
        <v>0</v>
      </c>
    </row>
    <row r="94" spans="1:101" x14ac:dyDescent="0.35">
      <c r="A94" s="212" t="s">
        <v>369</v>
      </c>
      <c r="B94" s="29" t="s">
        <v>738</v>
      </c>
      <c r="C94" s="30">
        <v>480</v>
      </c>
      <c r="D94" s="49"/>
      <c r="E94" s="4"/>
      <c r="F94" s="4"/>
      <c r="G94" s="4"/>
      <c r="H94" s="4"/>
      <c r="I94" s="4"/>
      <c r="J94" s="4"/>
      <c r="K94" s="2"/>
      <c r="L94" s="4"/>
      <c r="M94" s="4"/>
      <c r="N94" s="4"/>
      <c r="O94" s="4"/>
      <c r="P94" s="4"/>
      <c r="Q94" s="4"/>
      <c r="S94" s="228">
        <v>470</v>
      </c>
      <c r="T94" s="173"/>
      <c r="U94" s="173">
        <f t="shared" si="35"/>
        <v>0</v>
      </c>
      <c r="V94" s="173"/>
      <c r="W94" s="173">
        <f t="shared" si="36"/>
        <v>0</v>
      </c>
      <c r="X94" s="173"/>
      <c r="Y94" s="173">
        <f t="shared" si="37"/>
        <v>0</v>
      </c>
      <c r="Z94" s="173"/>
      <c r="AA94" s="173">
        <f t="shared" ref="AA94" si="95">Z94-Z93</f>
        <v>0</v>
      </c>
      <c r="AB94" s="163"/>
      <c r="AC94" s="174">
        <f t="shared" ref="AC94" si="96">AB94-AB93</f>
        <v>0</v>
      </c>
      <c r="AG94" s="228">
        <v>470</v>
      </c>
      <c r="AH94" s="4"/>
      <c r="AI94" s="4">
        <f t="shared" si="40"/>
        <v>0</v>
      </c>
      <c r="AJ94" s="163"/>
      <c r="AK94" s="4">
        <f t="shared" si="41"/>
        <v>0</v>
      </c>
      <c r="AL94" s="196"/>
      <c r="AM94" s="4">
        <f t="shared" si="42"/>
        <v>0</v>
      </c>
      <c r="AN94" s="163"/>
      <c r="AO94" s="4">
        <f t="shared" si="43"/>
        <v>0</v>
      </c>
      <c r="AP94" s="4"/>
      <c r="AQ94" s="2">
        <f t="shared" si="44"/>
        <v>0</v>
      </c>
      <c r="AU94" s="228">
        <v>470</v>
      </c>
      <c r="AV94" s="173"/>
      <c r="AW94" s="173">
        <f t="shared" si="45"/>
        <v>0</v>
      </c>
      <c r="AX94" s="173"/>
      <c r="AY94" s="173">
        <f t="shared" si="46"/>
        <v>0</v>
      </c>
      <c r="AZ94" s="173"/>
      <c r="BA94" s="173">
        <f t="shared" si="47"/>
        <v>0</v>
      </c>
      <c r="BB94" s="173"/>
      <c r="BC94" s="173">
        <f t="shared" si="48"/>
        <v>0</v>
      </c>
      <c r="BD94" s="173"/>
      <c r="BE94" s="174">
        <f t="shared" si="49"/>
        <v>0</v>
      </c>
      <c r="BI94" s="228">
        <v>470</v>
      </c>
      <c r="BJ94" s="4"/>
      <c r="BK94" s="4">
        <f t="shared" si="50"/>
        <v>0</v>
      </c>
      <c r="BL94" s="4"/>
      <c r="BM94" s="4">
        <f t="shared" si="51"/>
        <v>0</v>
      </c>
      <c r="BN94" s="4"/>
      <c r="BO94" s="4">
        <f t="shared" si="52"/>
        <v>0</v>
      </c>
      <c r="BP94" s="4"/>
      <c r="BQ94" s="4">
        <f t="shared" si="53"/>
        <v>0</v>
      </c>
      <c r="BR94" s="4"/>
      <c r="BS94" s="2">
        <f t="shared" si="54"/>
        <v>0</v>
      </c>
      <c r="BW94" s="228">
        <v>470</v>
      </c>
      <c r="BX94" s="4"/>
      <c r="BY94" s="4">
        <f t="shared" si="55"/>
        <v>0</v>
      </c>
      <c r="BZ94" s="4"/>
      <c r="CA94" s="4">
        <f t="shared" si="56"/>
        <v>0</v>
      </c>
      <c r="CB94" s="4"/>
      <c r="CC94" s="4">
        <f t="shared" si="57"/>
        <v>0</v>
      </c>
      <c r="CD94" s="4"/>
      <c r="CE94" s="4">
        <f t="shared" si="58"/>
        <v>0</v>
      </c>
      <c r="CF94" s="4"/>
      <c r="CG94" s="2">
        <f t="shared" si="59"/>
        <v>0</v>
      </c>
      <c r="CK94" s="228">
        <v>470</v>
      </c>
      <c r="CL94" s="4">
        <v>289.91000000000003</v>
      </c>
      <c r="CM94" s="4">
        <f t="shared" si="60"/>
        <v>289.91000000000003</v>
      </c>
      <c r="CN94" s="4">
        <v>276.01</v>
      </c>
      <c r="CO94" s="4">
        <f t="shared" si="61"/>
        <v>276.01</v>
      </c>
      <c r="CP94" s="8">
        <v>261.99</v>
      </c>
      <c r="CQ94" s="4">
        <f t="shared" si="62"/>
        <v>261.99</v>
      </c>
      <c r="CR94" s="4">
        <v>247.83</v>
      </c>
      <c r="CS94" s="4">
        <f t="shared" si="63"/>
        <v>247.83</v>
      </c>
      <c r="CT94" s="4">
        <v>233.55</v>
      </c>
      <c r="CU94" s="2">
        <f t="shared" si="64"/>
        <v>233.55</v>
      </c>
    </row>
    <row r="95" spans="1:101" x14ac:dyDescent="0.35">
      <c r="A95" s="350" t="s">
        <v>467</v>
      </c>
      <c r="B95" s="351"/>
      <c r="C95" s="23" t="s">
        <v>480</v>
      </c>
      <c r="D95" s="210"/>
      <c r="E95" s="24"/>
      <c r="F95" s="24"/>
      <c r="G95" s="24"/>
      <c r="H95" s="24"/>
      <c r="I95" s="24"/>
      <c r="J95" s="24"/>
      <c r="K95" s="7"/>
      <c r="L95" s="4"/>
      <c r="M95" s="4"/>
      <c r="N95" s="4"/>
      <c r="O95" s="4"/>
      <c r="P95" s="4"/>
      <c r="Q95" s="4"/>
      <c r="R95">
        <f>T95-T69</f>
        <v>39.75</v>
      </c>
      <c r="S95" s="230">
        <v>480</v>
      </c>
      <c r="T95" s="164">
        <v>330.03</v>
      </c>
      <c r="U95" s="251">
        <f t="shared" si="35"/>
        <v>330.03</v>
      </c>
      <c r="V95" s="251"/>
      <c r="W95" s="251">
        <f t="shared" si="36"/>
        <v>0</v>
      </c>
      <c r="X95" s="251"/>
      <c r="Y95" s="251">
        <f t="shared" si="37"/>
        <v>0</v>
      </c>
      <c r="Z95" s="251"/>
      <c r="AA95" s="251">
        <f t="shared" ref="AA95" si="97">Z95-Z94</f>
        <v>0</v>
      </c>
      <c r="AB95" s="164">
        <v>274.93</v>
      </c>
      <c r="AC95" s="174">
        <f t="shared" ref="AC95" si="98">AB95-AB94</f>
        <v>274.93</v>
      </c>
      <c r="AD95">
        <f>AB95-AB69</f>
        <v>39.400000000000006</v>
      </c>
      <c r="AF95">
        <f>AH95-AH69</f>
        <v>39.139999999999986</v>
      </c>
      <c r="AG95" s="230">
        <v>480</v>
      </c>
      <c r="AH95" s="5">
        <v>236.39</v>
      </c>
      <c r="AI95" s="5">
        <f t="shared" si="40"/>
        <v>236.39</v>
      </c>
      <c r="AJ95" s="164"/>
      <c r="AK95" s="5">
        <f t="shared" si="41"/>
        <v>0</v>
      </c>
      <c r="AL95" s="164"/>
      <c r="AM95" s="5">
        <f t="shared" si="42"/>
        <v>0</v>
      </c>
      <c r="AN95" s="164"/>
      <c r="AO95" s="5">
        <f t="shared" si="43"/>
        <v>0</v>
      </c>
      <c r="AP95" s="5">
        <v>177.97</v>
      </c>
      <c r="AQ95" s="3">
        <f t="shared" si="44"/>
        <v>177.97</v>
      </c>
      <c r="AR95">
        <f>AP95-AP69</f>
        <v>38.77000000000001</v>
      </c>
      <c r="AT95">
        <f>AV95-AV69</f>
        <v>40.319999999999993</v>
      </c>
      <c r="AU95" s="230">
        <v>480</v>
      </c>
      <c r="AV95" s="164">
        <v>327.54000000000002</v>
      </c>
      <c r="AW95" s="251">
        <f t="shared" si="45"/>
        <v>327.54000000000002</v>
      </c>
      <c r="AX95" s="251"/>
      <c r="AY95" s="251">
        <f t="shared" si="46"/>
        <v>0</v>
      </c>
      <c r="AZ95" s="251"/>
      <c r="BA95" s="251">
        <f t="shared" si="47"/>
        <v>0</v>
      </c>
      <c r="BB95" s="251"/>
      <c r="BC95" s="251">
        <f t="shared" si="48"/>
        <v>0</v>
      </c>
      <c r="BD95" s="164">
        <v>272.64</v>
      </c>
      <c r="BE95" s="174">
        <f t="shared" si="49"/>
        <v>272.64</v>
      </c>
      <c r="BF95">
        <f>BD95-BD69</f>
        <v>39.949999999999989</v>
      </c>
      <c r="BI95" s="230">
        <v>480</v>
      </c>
      <c r="BJ95" s="5"/>
      <c r="BK95" s="5">
        <f t="shared" si="50"/>
        <v>0</v>
      </c>
      <c r="BL95" s="5"/>
      <c r="BM95" s="5">
        <f t="shared" si="51"/>
        <v>0</v>
      </c>
      <c r="BN95" s="5"/>
      <c r="BO95" s="5">
        <f t="shared" si="52"/>
        <v>0</v>
      </c>
      <c r="BP95" s="5"/>
      <c r="BQ95" s="5">
        <f t="shared" si="53"/>
        <v>0</v>
      </c>
      <c r="BR95" s="5"/>
      <c r="BS95" s="2">
        <f t="shared" si="54"/>
        <v>0</v>
      </c>
      <c r="BT95">
        <f>BR95-BR69</f>
        <v>-135.97999999999999</v>
      </c>
      <c r="BW95" s="230">
        <v>480</v>
      </c>
      <c r="BX95" s="5"/>
      <c r="BY95" s="5">
        <f t="shared" si="55"/>
        <v>0</v>
      </c>
      <c r="BZ95" s="5"/>
      <c r="CA95" s="5">
        <f t="shared" si="56"/>
        <v>0</v>
      </c>
      <c r="CB95" s="5"/>
      <c r="CC95" s="5">
        <f t="shared" si="57"/>
        <v>0</v>
      </c>
      <c r="CD95" s="5"/>
      <c r="CE95" s="5">
        <f t="shared" si="58"/>
        <v>0</v>
      </c>
      <c r="CF95" s="5"/>
      <c r="CG95" s="2">
        <f t="shared" si="59"/>
        <v>0</v>
      </c>
      <c r="CJ95">
        <f>CL95-CL69</f>
        <v>45.029999999999973</v>
      </c>
      <c r="CK95" s="230">
        <v>480</v>
      </c>
      <c r="CL95" s="5">
        <v>292.83</v>
      </c>
      <c r="CM95" s="5">
        <f t="shared" si="60"/>
        <v>2.9199999999999591</v>
      </c>
      <c r="CN95" s="5">
        <v>278.94</v>
      </c>
      <c r="CO95" s="5">
        <f t="shared" si="61"/>
        <v>2.9300000000000068</v>
      </c>
      <c r="CP95" s="5">
        <v>264.92</v>
      </c>
      <c r="CQ95" s="5">
        <f t="shared" si="62"/>
        <v>2.9300000000000068</v>
      </c>
      <c r="CR95" s="5">
        <v>250.77</v>
      </c>
      <c r="CS95" s="5">
        <f t="shared" si="63"/>
        <v>2.9399999999999977</v>
      </c>
      <c r="CT95" s="5">
        <v>236.5</v>
      </c>
      <c r="CU95" s="2">
        <f t="shared" si="64"/>
        <v>2.9499999999999886</v>
      </c>
      <c r="CV95">
        <f>CT95-CT69</f>
        <v>44.870000000000005</v>
      </c>
    </row>
    <row r="96" spans="1:101" x14ac:dyDescent="0.35">
      <c r="A96" s="29" t="s">
        <v>1019</v>
      </c>
      <c r="B96" s="29" t="s">
        <v>739</v>
      </c>
      <c r="C96" s="1">
        <f>10-5</f>
        <v>5</v>
      </c>
      <c r="D96" s="49"/>
      <c r="E96" s="4"/>
      <c r="F96" s="4"/>
      <c r="G96" s="4"/>
      <c r="H96" s="4"/>
      <c r="I96" s="4"/>
      <c r="J96" s="4"/>
      <c r="K96" s="2"/>
      <c r="L96" s="4"/>
      <c r="M96" s="4"/>
      <c r="N96" s="4"/>
      <c r="O96" s="4"/>
      <c r="P96" s="4"/>
      <c r="Q96" s="4"/>
      <c r="S96" s="83" t="s">
        <v>781</v>
      </c>
      <c r="U96" s="227">
        <f>(T95-T76)/19</f>
        <v>2.9352631578947359</v>
      </c>
      <c r="V96" s="22"/>
      <c r="W96" s="227">
        <f>(V95-V76)/19</f>
        <v>0</v>
      </c>
      <c r="X96" s="22"/>
      <c r="Y96" s="227">
        <f>(X95-X76)/19</f>
        <v>0</v>
      </c>
      <c r="Z96" s="22"/>
      <c r="AA96" s="227">
        <f>(Z95-Z76)/19</f>
        <v>0</v>
      </c>
      <c r="AB96" s="22"/>
      <c r="AC96" s="234">
        <f>(AB95-AB76)/19</f>
        <v>2.9305263157894741</v>
      </c>
      <c r="AD96" s="236">
        <f>(AC96+AA96+Y96+W96+U96)/5</f>
        <v>1.173157894736842</v>
      </c>
      <c r="AE96" t="s">
        <v>440</v>
      </c>
      <c r="AG96" s="83" t="s">
        <v>781</v>
      </c>
      <c r="AI96" s="227">
        <f>(AH95-AH76)/19</f>
        <v>2.9673684210526314</v>
      </c>
      <c r="AJ96" s="22"/>
      <c r="AK96" s="227">
        <f>(AJ95-AJ76)/19</f>
        <v>0</v>
      </c>
      <c r="AL96" s="22"/>
      <c r="AM96" s="227">
        <f>(AL95-AL76)/19</f>
        <v>0</v>
      </c>
      <c r="AN96" s="22"/>
      <c r="AO96" s="227">
        <f>(AN95-AN76)/19</f>
        <v>0</v>
      </c>
      <c r="AP96" s="22"/>
      <c r="AQ96" s="231">
        <f>(AP95-AP76)/19</f>
        <v>3.093684210526316</v>
      </c>
      <c r="AR96" s="232">
        <f>(AQ96+AO96+AM96+AK96+AI96)/5</f>
        <v>1.2122105263157894</v>
      </c>
      <c r="AS96" t="s">
        <v>440</v>
      </c>
      <c r="AU96" s="83" t="s">
        <v>781</v>
      </c>
      <c r="AW96" s="227">
        <f>(AV95-AV76)/19</f>
        <v>3.0952631578947369</v>
      </c>
      <c r="AX96" s="22"/>
      <c r="AY96" s="227">
        <f>(AX95-AX76)/19</f>
        <v>0</v>
      </c>
      <c r="AZ96" s="22"/>
      <c r="BA96" s="227">
        <f>(AZ95-AZ76)/19</f>
        <v>0</v>
      </c>
      <c r="BB96" s="22"/>
      <c r="BC96" s="227">
        <f>(BB95-BB76)/19</f>
        <v>0</v>
      </c>
      <c r="BD96" s="22"/>
      <c r="BE96" s="234">
        <f>(BD95-BD76)/19</f>
        <v>3.1042105263157889</v>
      </c>
      <c r="BF96" s="236">
        <f>(BE96+BC96+BA96+AY96+AW96)/5</f>
        <v>1.2398947368421052</v>
      </c>
      <c r="BG96" t="s">
        <v>440</v>
      </c>
      <c r="BI96" s="83" t="s">
        <v>781</v>
      </c>
      <c r="BK96" s="227">
        <f>(BJ95-BJ76)/19</f>
        <v>0</v>
      </c>
      <c r="BL96" s="22"/>
      <c r="BM96" s="227">
        <f>(BL95-BL76)/19</f>
        <v>0</v>
      </c>
      <c r="BN96" s="22"/>
      <c r="BO96" s="227">
        <f>(BN95-BN76)/19</f>
        <v>0</v>
      </c>
      <c r="BP96" s="22"/>
      <c r="BQ96" s="227">
        <f>(BP95-BP76)/19</f>
        <v>0</v>
      </c>
      <c r="BR96" s="22"/>
      <c r="BS96" s="234">
        <f>(BR95-BR76)/19</f>
        <v>0</v>
      </c>
      <c r="BT96" s="236">
        <f>(BS96+BQ96+BO96+BM96+BK96)/5</f>
        <v>0</v>
      </c>
      <c r="BU96" t="s">
        <v>440</v>
      </c>
      <c r="BW96" s="83" t="s">
        <v>781</v>
      </c>
      <c r="BY96" s="227">
        <f>(BX95-BX76)/19</f>
        <v>0</v>
      </c>
      <c r="BZ96" s="22"/>
      <c r="CA96" s="227">
        <f>(BZ95-BZ76)/19</f>
        <v>0</v>
      </c>
      <c r="CB96" s="22"/>
      <c r="CC96" s="227">
        <f>(CB95-CB76)/19</f>
        <v>0</v>
      </c>
      <c r="CD96" s="22"/>
      <c r="CE96" s="227">
        <f>(CD95-CD76)/19</f>
        <v>0</v>
      </c>
      <c r="CF96" s="22"/>
      <c r="CG96" s="234">
        <f>(CF95-CF76)/19</f>
        <v>0</v>
      </c>
      <c r="CH96" s="236">
        <f>(CG96+CE96+CC96+CA96+BY96)/5</f>
        <v>0</v>
      </c>
      <c r="CI96" t="s">
        <v>440</v>
      </c>
      <c r="CK96" s="83" t="s">
        <v>781</v>
      </c>
      <c r="CM96" s="227">
        <f>(CL95-CL76)/19</f>
        <v>2.9242105263157883</v>
      </c>
      <c r="CN96" s="22"/>
      <c r="CO96" s="227">
        <f>(CN95-CN76)/19</f>
        <v>2.9284210526315784</v>
      </c>
      <c r="CP96" s="22"/>
      <c r="CQ96" s="227">
        <f>(CP95-CP76)/19</f>
        <v>2.9368421052631586</v>
      </c>
      <c r="CR96" s="22"/>
      <c r="CS96" s="227">
        <f>(CR95-CR76)/19</f>
        <v>2.9494736842105276</v>
      </c>
      <c r="CT96" s="22"/>
      <c r="CU96" s="234">
        <f>(CT95-CT76)/19</f>
        <v>2.9678947368421045</v>
      </c>
      <c r="CV96" s="236">
        <f>(CU96+CS96+CQ96+CO96+CM96)/5</f>
        <v>2.9413684210526316</v>
      </c>
      <c r="CW96" t="s">
        <v>440</v>
      </c>
    </row>
    <row r="97" spans="1:113" x14ac:dyDescent="0.35">
      <c r="A97" s="29" t="s">
        <v>1020</v>
      </c>
      <c r="B97" s="29" t="s">
        <v>740</v>
      </c>
      <c r="C97" s="1">
        <f>30-5</f>
        <v>25</v>
      </c>
      <c r="D97" s="49"/>
      <c r="E97" s="4"/>
      <c r="F97" s="4"/>
      <c r="G97" s="4"/>
      <c r="H97" s="4"/>
      <c r="I97" s="4"/>
      <c r="J97" s="4"/>
      <c r="K97" s="2"/>
      <c r="L97" s="4"/>
      <c r="M97" s="4"/>
      <c r="N97" s="4"/>
      <c r="O97" s="4"/>
      <c r="P97" s="4"/>
      <c r="Q97" s="4"/>
      <c r="U97" s="226">
        <f>T95-V95</f>
        <v>330.03</v>
      </c>
      <c r="W97" s="226">
        <f>V95-X95</f>
        <v>0</v>
      </c>
      <c r="Y97" s="226">
        <f>X95-Z95</f>
        <v>0</v>
      </c>
      <c r="AA97" s="226">
        <f>Z95-AB95</f>
        <v>-274.93</v>
      </c>
      <c r="AC97" s="235"/>
      <c r="AD97" s="237">
        <f>(U75+W75+Y75+AA75+U97+W97+Y97+AA97)/8</f>
        <v>13.763749999999995</v>
      </c>
      <c r="AE97" t="s">
        <v>637</v>
      </c>
      <c r="AI97" s="226">
        <f>AH95-AJ95</f>
        <v>236.39</v>
      </c>
      <c r="AK97" s="226">
        <f>AJ95-AL95</f>
        <v>0</v>
      </c>
      <c r="AM97" s="226">
        <f>AL95-AN95</f>
        <v>0</v>
      </c>
      <c r="AO97" s="226">
        <f>AN95-AP95</f>
        <v>-177.97</v>
      </c>
      <c r="AR97" s="233">
        <f>(AI75+AK75+AM75+AO75+AI97+AK97+AM97+AO97)/8</f>
        <v>14.904999999999998</v>
      </c>
      <c r="AS97" t="s">
        <v>637</v>
      </c>
      <c r="AW97" s="226">
        <f>AV95-AX95</f>
        <v>327.54000000000002</v>
      </c>
      <c r="AY97" s="226">
        <f>AX95-AZ95</f>
        <v>0</v>
      </c>
      <c r="BA97" s="226">
        <f>AZ95-BB95</f>
        <v>0</v>
      </c>
      <c r="BC97" s="226">
        <f>BB95-BD95</f>
        <v>-272.64</v>
      </c>
      <c r="BE97" s="235"/>
      <c r="BF97" s="237">
        <f>(AW75+AY75+BA75+BC75+AW97+AY97+BA97+BC97)/8</f>
        <v>13.746250000000003</v>
      </c>
      <c r="BG97" t="s">
        <v>637</v>
      </c>
      <c r="BK97" s="226">
        <f>BJ95-BL95</f>
        <v>0</v>
      </c>
      <c r="BM97" s="226">
        <f>BL95-BN95</f>
        <v>0</v>
      </c>
      <c r="BO97" s="226">
        <f>BN95-BP95</f>
        <v>0</v>
      </c>
      <c r="BQ97" s="226">
        <f>BP95-BR95</f>
        <v>0</v>
      </c>
      <c r="BS97" s="235"/>
      <c r="BT97" s="237">
        <f>(BK75+BM75+BO75+BQ75+BK97+BM97+BO97+BQ97)/8</f>
        <v>0</v>
      </c>
      <c r="BU97" t="s">
        <v>637</v>
      </c>
      <c r="BY97" s="226">
        <f>BX95-BZ95</f>
        <v>0</v>
      </c>
      <c r="CA97" s="226">
        <f>BZ95-CB95</f>
        <v>0</v>
      </c>
      <c r="CC97" s="226">
        <f>CB95-CD95</f>
        <v>0</v>
      </c>
      <c r="CE97" s="226">
        <f>CD95-CF95</f>
        <v>0</v>
      </c>
      <c r="CG97" s="235"/>
      <c r="CH97" s="237">
        <f>(BY75+CA75+CC75+CE75+BY97+CA97+CC97+CE97)/8</f>
        <v>0</v>
      </c>
      <c r="CI97" t="s">
        <v>637</v>
      </c>
      <c r="CM97" s="226">
        <f>CL95-CN95</f>
        <v>13.889999999999986</v>
      </c>
      <c r="CO97" s="226">
        <f>CN95-CP95</f>
        <v>14.019999999999982</v>
      </c>
      <c r="CQ97" s="226">
        <f>CP95-CR95</f>
        <v>14.150000000000006</v>
      </c>
      <c r="CS97" s="226">
        <f>CR95-CT95</f>
        <v>14.27000000000001</v>
      </c>
      <c r="CU97" s="235"/>
      <c r="CV97" s="237">
        <f>(CM75+CO75+CQ75+CS75+CM97+CO97+CQ97+CS97)/8</f>
        <v>14.186249999999998</v>
      </c>
      <c r="CW97" t="s">
        <v>637</v>
      </c>
    </row>
    <row r="98" spans="1:113" x14ac:dyDescent="0.35">
      <c r="A98" s="29" t="s">
        <v>1021</v>
      </c>
      <c r="B98" s="29" t="s">
        <v>741</v>
      </c>
      <c r="C98" s="1">
        <f>30-5</f>
        <v>25</v>
      </c>
      <c r="D98" s="49"/>
      <c r="E98" s="4"/>
      <c r="F98" s="4"/>
      <c r="G98" s="4"/>
      <c r="H98" s="4"/>
      <c r="I98" s="4"/>
      <c r="J98" s="4"/>
      <c r="K98" s="2"/>
      <c r="L98" s="4"/>
      <c r="M98" s="4"/>
      <c r="N98" s="4"/>
      <c r="O98" s="4"/>
      <c r="P98" s="4"/>
      <c r="Q98" s="4"/>
      <c r="AR98">
        <f>AR97/15</f>
        <v>0.99366666666666648</v>
      </c>
      <c r="BF98">
        <f>BF97/15</f>
        <v>0.91641666666666688</v>
      </c>
      <c r="BT98">
        <f>BT97/15</f>
        <v>0</v>
      </c>
    </row>
    <row r="99" spans="1:113" x14ac:dyDescent="0.35">
      <c r="A99" s="34" t="s">
        <v>1022</v>
      </c>
      <c r="B99" s="29" t="s">
        <v>742</v>
      </c>
      <c r="C99" s="120">
        <f>25-5</f>
        <v>20</v>
      </c>
      <c r="D99" s="49"/>
      <c r="E99" s="4"/>
      <c r="F99" s="4"/>
      <c r="G99" s="4"/>
      <c r="H99" s="4"/>
      <c r="I99" s="4"/>
      <c r="J99" s="4"/>
      <c r="K99" s="2"/>
      <c r="L99" s="4"/>
      <c r="M99" s="4"/>
      <c r="N99" s="4"/>
      <c r="O99" s="4"/>
      <c r="P99" s="4"/>
      <c r="Q99" s="4"/>
      <c r="S99" s="436" t="s">
        <v>836</v>
      </c>
      <c r="T99" s="437"/>
      <c r="U99" s="437"/>
      <c r="V99" s="437"/>
      <c r="W99" s="437"/>
      <c r="X99" s="437"/>
      <c r="Y99" s="437"/>
      <c r="Z99" s="437"/>
      <c r="AA99" s="437"/>
      <c r="AB99" s="437"/>
      <c r="AC99" s="438"/>
      <c r="AG99" s="436" t="s">
        <v>836</v>
      </c>
      <c r="AH99" s="437"/>
      <c r="AI99" s="437"/>
      <c r="AJ99" s="437"/>
      <c r="AK99" s="437"/>
      <c r="AL99" s="437"/>
      <c r="AM99" s="437"/>
      <c r="AN99" s="437"/>
      <c r="AO99" s="437"/>
      <c r="AP99" s="437"/>
      <c r="AQ99" s="438"/>
      <c r="AU99" s="424" t="s">
        <v>840</v>
      </c>
      <c r="AV99" s="425"/>
      <c r="AW99" s="425"/>
      <c r="AX99" s="425"/>
      <c r="AY99" s="425"/>
      <c r="AZ99" s="425"/>
      <c r="BA99" s="425"/>
      <c r="BB99" s="425"/>
      <c r="BC99" s="425"/>
      <c r="BD99" s="425"/>
      <c r="BE99" s="426"/>
      <c r="BI99" s="424" t="s">
        <v>840</v>
      </c>
      <c r="BJ99" s="425"/>
      <c r="BK99" s="425"/>
      <c r="BL99" s="425"/>
      <c r="BM99" s="425"/>
      <c r="BN99" s="425"/>
      <c r="BO99" s="425"/>
      <c r="BP99" s="425"/>
      <c r="BQ99" s="425"/>
      <c r="BR99" s="425"/>
      <c r="BS99" s="426"/>
      <c r="BW99" s="418" t="s">
        <v>842</v>
      </c>
      <c r="BX99" s="419"/>
      <c r="BY99" s="419"/>
      <c r="BZ99" s="419"/>
      <c r="CA99" s="419"/>
      <c r="CB99" s="419"/>
      <c r="CC99" s="419"/>
      <c r="CD99" s="419"/>
      <c r="CE99" s="419"/>
      <c r="CF99" s="419"/>
      <c r="CG99" s="420"/>
      <c r="CY99" s="418" t="s">
        <v>842</v>
      </c>
      <c r="CZ99" s="419"/>
      <c r="DA99" s="419"/>
      <c r="DB99" s="419"/>
      <c r="DC99" s="419"/>
      <c r="DD99" s="419"/>
      <c r="DE99" s="419"/>
      <c r="DF99" s="419"/>
      <c r="DG99" s="419"/>
      <c r="DH99" s="419"/>
      <c r="DI99" s="420"/>
    </row>
    <row r="100" spans="1:113" x14ac:dyDescent="0.35">
      <c r="A100" s="350" t="s">
        <v>468</v>
      </c>
      <c r="B100" s="351"/>
      <c r="C100" s="40"/>
      <c r="D100" s="210"/>
      <c r="E100" s="24"/>
      <c r="F100" s="24"/>
      <c r="G100" s="24"/>
      <c r="H100" s="24"/>
      <c r="I100" s="24"/>
      <c r="J100" s="24"/>
      <c r="K100" s="7"/>
      <c r="L100" s="4"/>
      <c r="M100" s="4"/>
      <c r="N100" s="4"/>
      <c r="O100" s="4"/>
      <c r="P100" s="4"/>
      <c r="Q100" s="4"/>
      <c r="S100" s="439" t="s">
        <v>837</v>
      </c>
      <c r="T100" s="440"/>
      <c r="U100" s="440"/>
      <c r="V100" s="440"/>
      <c r="W100" s="440"/>
      <c r="X100" s="440"/>
      <c r="Y100" s="440"/>
      <c r="Z100" s="440"/>
      <c r="AA100" s="440"/>
      <c r="AB100" s="440"/>
      <c r="AC100" s="441"/>
      <c r="AG100" s="439" t="s">
        <v>838</v>
      </c>
      <c r="AH100" s="440"/>
      <c r="AI100" s="440"/>
      <c r="AJ100" s="440"/>
      <c r="AK100" s="440"/>
      <c r="AL100" s="440"/>
      <c r="AM100" s="440"/>
      <c r="AN100" s="440"/>
      <c r="AO100" s="440"/>
      <c r="AP100" s="440"/>
      <c r="AQ100" s="441"/>
      <c r="AU100" s="427" t="s">
        <v>837</v>
      </c>
      <c r="AV100" s="428"/>
      <c r="AW100" s="428"/>
      <c r="AX100" s="428"/>
      <c r="AY100" s="428"/>
      <c r="AZ100" s="428"/>
      <c r="BA100" s="428"/>
      <c r="BB100" s="428"/>
      <c r="BC100" s="428"/>
      <c r="BD100" s="428"/>
      <c r="BE100" s="429"/>
      <c r="BI100" s="427" t="s">
        <v>838</v>
      </c>
      <c r="BJ100" s="428"/>
      <c r="BK100" s="428"/>
      <c r="BL100" s="428"/>
      <c r="BM100" s="428"/>
      <c r="BN100" s="428"/>
      <c r="BO100" s="428"/>
      <c r="BP100" s="428"/>
      <c r="BQ100" s="428"/>
      <c r="BR100" s="428"/>
      <c r="BS100" s="429"/>
      <c r="BW100" s="421" t="s">
        <v>841</v>
      </c>
      <c r="BX100" s="422"/>
      <c r="BY100" s="422"/>
      <c r="BZ100" s="422"/>
      <c r="CA100" s="422"/>
      <c r="CB100" s="422"/>
      <c r="CC100" s="422"/>
      <c r="CD100" s="422"/>
      <c r="CE100" s="422"/>
      <c r="CF100" s="422"/>
      <c r="CG100" s="423"/>
      <c r="CY100" s="421" t="s">
        <v>843</v>
      </c>
      <c r="CZ100" s="422"/>
      <c r="DA100" s="422"/>
      <c r="DB100" s="422"/>
      <c r="DC100" s="422"/>
      <c r="DD100" s="422"/>
      <c r="DE100" s="422"/>
      <c r="DF100" s="422"/>
      <c r="DG100" s="422"/>
      <c r="DH100" s="422"/>
      <c r="DI100" s="423"/>
    </row>
    <row r="101" spans="1:113" x14ac:dyDescent="0.35">
      <c r="A101" s="212" t="s">
        <v>743</v>
      </c>
      <c r="B101" s="29" t="s">
        <v>678</v>
      </c>
      <c r="C101" s="30">
        <v>74</v>
      </c>
      <c r="D101" s="49"/>
      <c r="E101" s="4"/>
      <c r="F101" s="4"/>
      <c r="G101" s="4"/>
      <c r="H101" s="4"/>
      <c r="I101" s="4"/>
      <c r="J101" s="4"/>
      <c r="K101" s="2"/>
      <c r="L101" s="4"/>
      <c r="M101" s="4"/>
      <c r="N101" s="4"/>
      <c r="O101" s="4"/>
      <c r="P101" s="4"/>
      <c r="Q101" s="4"/>
      <c r="S101" s="295" t="s">
        <v>440</v>
      </c>
      <c r="T101" s="4" t="s">
        <v>817</v>
      </c>
      <c r="U101" s="229">
        <f>T102-V102</f>
        <v>14.969999999999999</v>
      </c>
      <c r="V101" s="4">
        <v>2</v>
      </c>
      <c r="W101" s="229">
        <f>V102-X102</f>
        <v>15</v>
      </c>
      <c r="X101" s="4">
        <v>3</v>
      </c>
      <c r="Y101" s="229">
        <f>X102-Z102</f>
        <v>15.030000000000001</v>
      </c>
      <c r="Z101" s="4">
        <v>4</v>
      </c>
      <c r="AA101" s="229">
        <f>Z102-AB102</f>
        <v>15.050000000000011</v>
      </c>
      <c r="AB101" s="4" t="s">
        <v>818</v>
      </c>
      <c r="AC101" s="2"/>
      <c r="AG101" s="295" t="s">
        <v>440</v>
      </c>
      <c r="AH101" s="4">
        <v>1</v>
      </c>
      <c r="AI101" s="229">
        <f>AH102-AJ102</f>
        <v>15.120000000000005</v>
      </c>
      <c r="AJ101" s="4">
        <v>2</v>
      </c>
      <c r="AK101" s="229">
        <f>AJ102-AL102</f>
        <v>15.139999999999993</v>
      </c>
      <c r="AL101" s="4">
        <v>3</v>
      </c>
      <c r="AM101" s="229">
        <f>AL102-AN102</f>
        <v>15.170000000000002</v>
      </c>
      <c r="AN101" s="4">
        <v>4</v>
      </c>
      <c r="AO101" s="229">
        <f>AN102-AP102</f>
        <v>15.2</v>
      </c>
      <c r="AP101" s="4">
        <v>5</v>
      </c>
      <c r="AQ101" s="2"/>
      <c r="AU101" s="295" t="s">
        <v>440</v>
      </c>
      <c r="AV101" s="4">
        <v>1</v>
      </c>
      <c r="AW101" s="229">
        <f>AV102-AX102</f>
        <v>14.900000000000006</v>
      </c>
      <c r="AX101" s="4">
        <v>2</v>
      </c>
      <c r="AY101" s="229">
        <f>AX102-AZ102</f>
        <v>14.950000000000017</v>
      </c>
      <c r="AZ101" s="4">
        <v>3</v>
      </c>
      <c r="BA101" s="229">
        <f>AZ102-BB102</f>
        <v>14.989999999999981</v>
      </c>
      <c r="BB101" s="4">
        <v>4</v>
      </c>
      <c r="BC101" s="229">
        <f>BB102-BD102</f>
        <v>15.02000000000001</v>
      </c>
      <c r="BD101" s="4">
        <v>5</v>
      </c>
      <c r="BE101" s="2"/>
      <c r="BI101" s="295" t="s">
        <v>440</v>
      </c>
      <c r="BJ101" s="4">
        <v>1</v>
      </c>
      <c r="BK101" s="229">
        <f>BJ102-BL102</f>
        <v>15.14</v>
      </c>
      <c r="BL101" s="4">
        <v>2</v>
      </c>
      <c r="BM101" s="229">
        <f>BL102-BN102</f>
        <v>15.18</v>
      </c>
      <c r="BN101" s="4">
        <v>3</v>
      </c>
      <c r="BO101" s="229">
        <f>BN102-BP102</f>
        <v>15.229999999999997</v>
      </c>
      <c r="BP101" s="4">
        <v>4</v>
      </c>
      <c r="BQ101" s="229">
        <f>BP102-BR102</f>
        <v>15.280000000000001</v>
      </c>
      <c r="BR101" s="4">
        <v>5</v>
      </c>
      <c r="BS101" s="2"/>
      <c r="BW101" s="295" t="s">
        <v>440</v>
      </c>
      <c r="BX101" s="4" t="s">
        <v>803</v>
      </c>
      <c r="BY101" s="229">
        <f>BX102-BZ102</f>
        <v>14.949999999999989</v>
      </c>
      <c r="BZ101" s="4">
        <v>2</v>
      </c>
      <c r="CA101" s="229">
        <f>BZ102-CB102</f>
        <v>14.969999999999999</v>
      </c>
      <c r="CB101" s="4">
        <v>3</v>
      </c>
      <c r="CC101" s="229">
        <f>CB102-CD102</f>
        <v>15.010000000000019</v>
      </c>
      <c r="CD101" s="4">
        <v>4</v>
      </c>
      <c r="CE101" s="229">
        <f>CD102-CF102</f>
        <v>15.030000000000001</v>
      </c>
      <c r="CF101" s="4">
        <v>5</v>
      </c>
      <c r="CG101" s="2"/>
      <c r="CY101" s="295" t="s">
        <v>440</v>
      </c>
      <c r="CZ101" s="4" t="s">
        <v>804</v>
      </c>
      <c r="DA101" s="229">
        <f>CZ102-DB102</f>
        <v>15.11</v>
      </c>
      <c r="DB101" s="4">
        <v>2</v>
      </c>
      <c r="DC101" s="229">
        <f>DB102-DD102</f>
        <v>15.129999999999995</v>
      </c>
      <c r="DD101" s="4">
        <v>3</v>
      </c>
      <c r="DE101" s="229">
        <f>DD102-DF102</f>
        <v>15.160000000000004</v>
      </c>
      <c r="DF101" s="4">
        <v>4</v>
      </c>
      <c r="DG101" s="229">
        <f>DF102-DH102</f>
        <v>15.189999999999998</v>
      </c>
      <c r="DH101" s="4" t="s">
        <v>805</v>
      </c>
      <c r="DI101" s="2"/>
    </row>
    <row r="102" spans="1:113" x14ac:dyDescent="0.35">
      <c r="A102" s="212" t="s">
        <v>744</v>
      </c>
      <c r="B102" s="29" t="s">
        <v>745</v>
      </c>
      <c r="C102" s="30">
        <v>78</v>
      </c>
      <c r="D102" s="49"/>
      <c r="E102" s="4"/>
      <c r="F102" s="4"/>
      <c r="G102" s="4"/>
      <c r="H102" s="4"/>
      <c r="I102" s="4"/>
      <c r="J102" s="4"/>
      <c r="K102" s="2"/>
      <c r="L102" s="4"/>
      <c r="M102" s="4"/>
      <c r="N102" s="4"/>
      <c r="O102" s="4"/>
      <c r="P102" s="4"/>
      <c r="Q102" s="4"/>
      <c r="S102" s="228">
        <v>290</v>
      </c>
      <c r="T102" s="185">
        <v>189.77</v>
      </c>
      <c r="U102" s="4"/>
      <c r="V102" s="4">
        <v>174.8</v>
      </c>
      <c r="W102" s="4"/>
      <c r="X102" s="8">
        <v>159.80000000000001</v>
      </c>
      <c r="Y102" s="4"/>
      <c r="Z102" s="4">
        <v>144.77000000000001</v>
      </c>
      <c r="AA102" s="4"/>
      <c r="AB102" s="4">
        <v>129.72</v>
      </c>
      <c r="AC102" s="2"/>
      <c r="AG102" s="228">
        <v>290</v>
      </c>
      <c r="AH102" s="185">
        <v>88.75</v>
      </c>
      <c r="AI102" s="4"/>
      <c r="AJ102" s="4">
        <v>73.63</v>
      </c>
      <c r="AK102" s="4"/>
      <c r="AL102" s="8">
        <v>58.49</v>
      </c>
      <c r="AM102" s="4"/>
      <c r="AN102" s="4">
        <v>43.32</v>
      </c>
      <c r="AO102" s="4"/>
      <c r="AP102" s="4">
        <v>28.12</v>
      </c>
      <c r="AQ102" s="2"/>
      <c r="AU102" s="228">
        <v>290</v>
      </c>
      <c r="AV102" s="185">
        <v>189.3</v>
      </c>
      <c r="AW102" s="4"/>
      <c r="AX102" s="4">
        <v>174.4</v>
      </c>
      <c r="AY102" s="4"/>
      <c r="AZ102" s="8">
        <v>159.44999999999999</v>
      </c>
      <c r="BA102" s="4"/>
      <c r="BB102" s="4">
        <v>144.46</v>
      </c>
      <c r="BC102" s="4"/>
      <c r="BD102" s="4">
        <v>129.44</v>
      </c>
      <c r="BE102" s="2"/>
      <c r="BI102" s="228">
        <v>290</v>
      </c>
      <c r="BJ102" s="185">
        <v>87.94</v>
      </c>
      <c r="BK102" s="4"/>
      <c r="BL102" s="4">
        <v>72.8</v>
      </c>
      <c r="BM102" s="4"/>
      <c r="BN102" s="8">
        <v>57.62</v>
      </c>
      <c r="BO102" s="4"/>
      <c r="BP102" s="4">
        <v>42.39</v>
      </c>
      <c r="BQ102" s="4"/>
      <c r="BR102" s="4">
        <v>27.11</v>
      </c>
      <c r="BS102" s="2"/>
      <c r="BW102" s="228">
        <v>290</v>
      </c>
      <c r="BX102" s="185">
        <v>187.97</v>
      </c>
      <c r="BY102" s="4"/>
      <c r="BZ102" s="4">
        <v>173.02</v>
      </c>
      <c r="CA102" s="4"/>
      <c r="CB102" s="8">
        <v>158.05000000000001</v>
      </c>
      <c r="CC102" s="4"/>
      <c r="CD102" s="4">
        <v>143.04</v>
      </c>
      <c r="CE102" s="4"/>
      <c r="CF102" s="4">
        <v>128.01</v>
      </c>
      <c r="CG102" s="2"/>
      <c r="CY102" s="228">
        <v>290</v>
      </c>
      <c r="CZ102" s="185">
        <v>87.63</v>
      </c>
      <c r="DA102" s="4"/>
      <c r="DB102" s="4">
        <v>72.52</v>
      </c>
      <c r="DC102" s="4"/>
      <c r="DD102" s="8">
        <v>57.39</v>
      </c>
      <c r="DE102" s="4"/>
      <c r="DF102" s="4">
        <v>42.23</v>
      </c>
      <c r="DG102" s="4"/>
      <c r="DH102" s="4">
        <v>27.04</v>
      </c>
      <c r="DI102" s="2"/>
    </row>
    <row r="103" spans="1:113" x14ac:dyDescent="0.35">
      <c r="A103" s="28" t="s">
        <v>618</v>
      </c>
      <c r="B103" s="29" t="s">
        <v>746</v>
      </c>
      <c r="C103" s="30">
        <v>82</v>
      </c>
      <c r="D103" s="49"/>
      <c r="E103" s="4"/>
      <c r="F103" s="4"/>
      <c r="G103" s="4"/>
      <c r="H103" s="4"/>
      <c r="I103" s="4"/>
      <c r="J103" s="4"/>
      <c r="K103" s="2"/>
      <c r="L103" s="4"/>
      <c r="M103" s="4"/>
      <c r="N103" s="4"/>
      <c r="O103" s="4"/>
      <c r="P103" s="4"/>
      <c r="Q103" s="4"/>
      <c r="S103" s="228">
        <v>300</v>
      </c>
      <c r="T103" s="4">
        <v>190.13</v>
      </c>
      <c r="U103" s="4">
        <f>T103-T102</f>
        <v>0.35999999999998522</v>
      </c>
      <c r="V103" s="4">
        <v>175.15</v>
      </c>
      <c r="W103" s="4">
        <f>V103-V102</f>
        <v>0.34999999999999432</v>
      </c>
      <c r="X103" s="8">
        <v>160.15</v>
      </c>
      <c r="Y103" s="4">
        <f>X103-X102</f>
        <v>0.34999999999999432</v>
      </c>
      <c r="Z103" s="4">
        <v>145.12</v>
      </c>
      <c r="AA103" s="4">
        <f>Z103-Z102</f>
        <v>0.34999999999999432</v>
      </c>
      <c r="AB103" s="4">
        <v>130.07</v>
      </c>
      <c r="AC103" s="2">
        <f>AB103-AB102</f>
        <v>0.34999999999999432</v>
      </c>
      <c r="AG103" s="228">
        <v>300</v>
      </c>
      <c r="AH103" s="4">
        <v>89.1</v>
      </c>
      <c r="AI103" s="4">
        <f>AH103-AH102</f>
        <v>0.34999999999999432</v>
      </c>
      <c r="AJ103" s="4">
        <v>73.989999999999995</v>
      </c>
      <c r="AK103" s="4">
        <f>AJ103-AJ102</f>
        <v>0.35999999999999943</v>
      </c>
      <c r="AL103" s="8">
        <v>58.85</v>
      </c>
      <c r="AM103" s="4">
        <f>AL103-AL102</f>
        <v>0.35999999999999943</v>
      </c>
      <c r="AN103" s="4">
        <v>43.68</v>
      </c>
      <c r="AO103" s="4">
        <f>AN103-AN102</f>
        <v>0.35999999999999943</v>
      </c>
      <c r="AP103" s="4">
        <v>28.49</v>
      </c>
      <c r="AQ103" s="2">
        <f>AP103-AP102</f>
        <v>0.36999999999999744</v>
      </c>
      <c r="AU103" s="228">
        <v>300</v>
      </c>
      <c r="AV103" s="4">
        <v>189.84</v>
      </c>
      <c r="AW103" s="4">
        <f>AV103-AV102</f>
        <v>0.53999999999999204</v>
      </c>
      <c r="AX103" s="4">
        <v>174.93</v>
      </c>
      <c r="AY103" s="4">
        <f>AX103-AX102</f>
        <v>0.53000000000000114</v>
      </c>
      <c r="AZ103" s="8">
        <v>159.97999999999999</v>
      </c>
      <c r="BA103" s="4">
        <f>AZ103-AZ102</f>
        <v>0.53000000000000114</v>
      </c>
      <c r="BB103" s="4">
        <v>144.99</v>
      </c>
      <c r="BC103" s="4">
        <f>BB103-BB102</f>
        <v>0.53000000000000114</v>
      </c>
      <c r="BD103" s="4">
        <v>129.96</v>
      </c>
      <c r="BE103" s="2">
        <f>BD103-BD102</f>
        <v>0.52000000000001023</v>
      </c>
      <c r="BI103" s="228">
        <v>300</v>
      </c>
      <c r="BJ103" s="4">
        <v>88.47</v>
      </c>
      <c r="BK103" s="4">
        <f>BJ103-BJ102</f>
        <v>0.53000000000000114</v>
      </c>
      <c r="BL103" s="4">
        <v>73.319999999999993</v>
      </c>
      <c r="BM103" s="4">
        <f>BL103-BL102</f>
        <v>0.51999999999999602</v>
      </c>
      <c r="BN103" s="8">
        <v>58.16</v>
      </c>
      <c r="BO103" s="4">
        <f>BN103-BN102</f>
        <v>0.53999999999999915</v>
      </c>
      <c r="BP103" s="4">
        <v>42.93</v>
      </c>
      <c r="BQ103" s="4">
        <f>BP103-BP102</f>
        <v>0.53999999999999915</v>
      </c>
      <c r="BR103" s="4">
        <v>27.67</v>
      </c>
      <c r="BS103" s="2">
        <f>BR103-BR102</f>
        <v>0.56000000000000227</v>
      </c>
      <c r="BW103" s="228">
        <v>300</v>
      </c>
      <c r="BX103" s="4">
        <v>188.33</v>
      </c>
      <c r="BY103" s="4">
        <f>BX103-BX102</f>
        <v>0.36000000000001364</v>
      </c>
      <c r="BZ103" s="4">
        <v>173.38</v>
      </c>
      <c r="CA103" s="4">
        <f>BZ103-BZ102</f>
        <v>0.35999999999998522</v>
      </c>
      <c r="CB103" s="8">
        <v>158.4</v>
      </c>
      <c r="CC103" s="4">
        <f>CB103-CB102</f>
        <v>0.34999999999999432</v>
      </c>
      <c r="CD103" s="4">
        <v>143.38999999999999</v>
      </c>
      <c r="CE103" s="4">
        <f>CD103-CD102</f>
        <v>0.34999999999999432</v>
      </c>
      <c r="CF103" s="4">
        <v>128.36000000000001</v>
      </c>
      <c r="CG103" s="2">
        <f>CF103-CF102</f>
        <v>0.35000000000002274</v>
      </c>
      <c r="CY103" s="228">
        <v>300</v>
      </c>
      <c r="CZ103" s="4">
        <v>87.98</v>
      </c>
      <c r="DA103" s="4">
        <f>CZ103-CZ102</f>
        <v>0.35000000000000853</v>
      </c>
      <c r="DB103" s="4">
        <v>72.88</v>
      </c>
      <c r="DC103" s="4">
        <f>DB103-DB102</f>
        <v>0.35999999999999943</v>
      </c>
      <c r="DD103" s="8">
        <v>57.75</v>
      </c>
      <c r="DE103" s="4">
        <f>DD103-DD102</f>
        <v>0.35999999999999943</v>
      </c>
      <c r="DF103" s="4">
        <v>42.59</v>
      </c>
      <c r="DG103" s="4">
        <f>DF103-DF102</f>
        <v>0.36000000000000654</v>
      </c>
      <c r="DH103" s="4">
        <v>27.4</v>
      </c>
      <c r="DI103" s="2">
        <f>DH103-DH102</f>
        <v>0.35999999999999943</v>
      </c>
    </row>
    <row r="104" spans="1:113" x14ac:dyDescent="0.35">
      <c r="A104" s="212" t="s">
        <v>619</v>
      </c>
      <c r="B104" s="29" t="s">
        <v>747</v>
      </c>
      <c r="C104" s="30">
        <v>86</v>
      </c>
      <c r="D104" s="49"/>
      <c r="E104" s="4"/>
      <c r="F104" s="4"/>
      <c r="G104" s="4"/>
      <c r="H104" s="4"/>
      <c r="I104" s="4"/>
      <c r="J104" s="4"/>
      <c r="K104" s="2"/>
      <c r="L104" s="4"/>
      <c r="M104" s="4"/>
      <c r="N104" s="4"/>
      <c r="O104" s="4"/>
      <c r="P104" s="4"/>
      <c r="Q104" s="4"/>
      <c r="S104" s="228">
        <v>310</v>
      </c>
      <c r="T104" s="8"/>
      <c r="U104" s="4">
        <f t="shared" ref="U104:U121" si="99">T104-T103</f>
        <v>-190.13</v>
      </c>
      <c r="V104" s="4"/>
      <c r="W104" s="4">
        <f t="shared" ref="W104:W121" si="100">V104-V103</f>
        <v>-175.15</v>
      </c>
      <c r="X104" s="4"/>
      <c r="Y104" s="4">
        <f t="shared" ref="Y104:Y119" si="101">X104-X103</f>
        <v>-160.15</v>
      </c>
      <c r="Z104" s="4"/>
      <c r="AA104" s="4">
        <f t="shared" ref="AA104:AA121" si="102">Z104-Z103</f>
        <v>-145.12</v>
      </c>
      <c r="AB104" s="4"/>
      <c r="AC104" s="2">
        <f t="shared" ref="AC104:AC121" si="103">AB104-AB103</f>
        <v>-130.07</v>
      </c>
      <c r="AG104" s="228">
        <v>310</v>
      </c>
      <c r="AH104" s="4"/>
      <c r="AI104" s="4">
        <f t="shared" ref="AI104:AI121" si="104">AH104-AH103</f>
        <v>-89.1</v>
      </c>
      <c r="AJ104" s="4"/>
      <c r="AK104" s="4">
        <f t="shared" ref="AK104:AK121" si="105">AJ104-AJ103</f>
        <v>-73.989999999999995</v>
      </c>
      <c r="AL104" s="4"/>
      <c r="AM104" s="4">
        <f t="shared" ref="AM104:AM121" si="106">AL104-AL103</f>
        <v>-58.85</v>
      </c>
      <c r="AN104" s="4"/>
      <c r="AO104" s="4">
        <f t="shared" ref="AO104:AO121" si="107">AN104-AN103</f>
        <v>-43.68</v>
      </c>
      <c r="AP104" s="4"/>
      <c r="AQ104" s="2">
        <f t="shared" ref="AQ104:AQ121" si="108">AP104-AP103</f>
        <v>-28.49</v>
      </c>
      <c r="AU104" s="228">
        <v>310</v>
      </c>
      <c r="AV104" s="8"/>
      <c r="AW104" s="4">
        <f t="shared" ref="AW104:AW121" si="109">AV104-AV103</f>
        <v>-189.84</v>
      </c>
      <c r="AX104" s="4"/>
      <c r="AY104" s="4">
        <f t="shared" ref="AY104:AY121" si="110">AX104-AX103</f>
        <v>-174.93</v>
      </c>
      <c r="AZ104" s="8"/>
      <c r="BA104" s="4">
        <f t="shared" ref="BA104:BA121" si="111">AZ104-AZ103</f>
        <v>-159.97999999999999</v>
      </c>
      <c r="BB104" s="4"/>
      <c r="BC104" s="4">
        <f t="shared" ref="BC104:BC121" si="112">BB104-BB103</f>
        <v>-144.99</v>
      </c>
      <c r="BD104" s="8"/>
      <c r="BE104" s="2">
        <f t="shared" ref="BE104:BE121" si="113">BD104-BD103</f>
        <v>-129.96</v>
      </c>
      <c r="BI104" s="228">
        <v>310</v>
      </c>
      <c r="BJ104" s="8"/>
      <c r="BK104" s="4">
        <f t="shared" ref="BK104:BK121" si="114">BJ104-BJ103</f>
        <v>-88.47</v>
      </c>
      <c r="BL104" s="4"/>
      <c r="BM104" s="4">
        <f t="shared" ref="BM104:BM121" si="115">BL104-BL103</f>
        <v>-73.319999999999993</v>
      </c>
      <c r="BN104" s="8"/>
      <c r="BO104" s="4">
        <f t="shared" ref="BO104:BO121" si="116">BN104-BN103</f>
        <v>-58.16</v>
      </c>
      <c r="BP104" s="4"/>
      <c r="BQ104" s="4">
        <f t="shared" ref="BQ104:BQ121" si="117">BP104-BP103</f>
        <v>-42.93</v>
      </c>
      <c r="BR104" s="8"/>
      <c r="BS104" s="2">
        <f t="shared" ref="BS104:BS121" si="118">BR104-BR103</f>
        <v>-27.67</v>
      </c>
      <c r="BW104" s="228">
        <v>310</v>
      </c>
      <c r="BX104" s="8"/>
      <c r="BY104" s="4">
        <f t="shared" ref="BY104:BY121" si="119">BX104-BX103</f>
        <v>-188.33</v>
      </c>
      <c r="BZ104" s="8"/>
      <c r="CA104" s="4">
        <f t="shared" ref="CA104:CA121" si="120">BZ104-BZ103</f>
        <v>-173.38</v>
      </c>
      <c r="CB104" s="8"/>
      <c r="CC104" s="4">
        <f>CB104-CB103</f>
        <v>-158.4</v>
      </c>
      <c r="CD104" s="8"/>
      <c r="CE104" s="4">
        <f t="shared" ref="CE104:CE121" si="121">CD104-CD103</f>
        <v>-143.38999999999999</v>
      </c>
      <c r="CF104" s="8"/>
      <c r="CG104" s="2">
        <f t="shared" ref="CG104:CG121" si="122">CF104-CF103</f>
        <v>-128.36000000000001</v>
      </c>
      <c r="CY104" s="228">
        <v>310</v>
      </c>
      <c r="CZ104" s="8"/>
      <c r="DA104" s="4">
        <f t="shared" ref="DA104:DA121" si="123">CZ104-CZ103</f>
        <v>-87.98</v>
      </c>
      <c r="DB104" s="8"/>
      <c r="DC104" s="4">
        <f t="shared" ref="DC104:DC121" si="124">DB104-DB103</f>
        <v>-72.88</v>
      </c>
      <c r="DD104" s="8"/>
      <c r="DE104" s="4">
        <f>DD104-DD103</f>
        <v>-57.75</v>
      </c>
      <c r="DF104" s="8"/>
      <c r="DG104" s="4">
        <f t="shared" ref="DG104:DG121" si="125">DF104-DF103</f>
        <v>-42.59</v>
      </c>
      <c r="DH104" s="8"/>
      <c r="DI104" s="2">
        <f t="shared" ref="DI104:DI121" si="126">DH104-DH103</f>
        <v>-27.4</v>
      </c>
    </row>
    <row r="105" spans="1:113" x14ac:dyDescent="0.35">
      <c r="A105" s="212" t="s">
        <v>620</v>
      </c>
      <c r="B105" s="29" t="s">
        <v>748</v>
      </c>
      <c r="C105" s="30">
        <v>90</v>
      </c>
      <c r="D105" s="49"/>
      <c r="E105" s="4"/>
      <c r="F105" s="4"/>
      <c r="G105" s="4"/>
      <c r="H105" s="4"/>
      <c r="I105" s="4"/>
      <c r="J105" s="4"/>
      <c r="K105" s="2"/>
      <c r="L105" s="4"/>
      <c r="M105" s="4"/>
      <c r="N105" s="4"/>
      <c r="O105" s="4"/>
      <c r="P105" s="4"/>
      <c r="Q105" s="4"/>
      <c r="S105" s="228">
        <v>320</v>
      </c>
      <c r="T105" s="4"/>
      <c r="U105" s="173">
        <f t="shared" si="99"/>
        <v>0</v>
      </c>
      <c r="V105" s="4"/>
      <c r="W105" s="173">
        <f t="shared" si="100"/>
        <v>0</v>
      </c>
      <c r="X105" s="4"/>
      <c r="Y105" s="4">
        <f t="shared" si="101"/>
        <v>0</v>
      </c>
      <c r="Z105" s="4"/>
      <c r="AA105" s="4">
        <f t="shared" si="102"/>
        <v>0</v>
      </c>
      <c r="AB105" s="4"/>
      <c r="AC105" s="2">
        <f t="shared" si="103"/>
        <v>0</v>
      </c>
      <c r="AG105" s="228">
        <v>320</v>
      </c>
      <c r="AH105" s="4"/>
      <c r="AI105" s="173">
        <f t="shared" si="104"/>
        <v>0</v>
      </c>
      <c r="AJ105" s="4"/>
      <c r="AK105" s="173">
        <f t="shared" si="105"/>
        <v>0</v>
      </c>
      <c r="AL105" s="4"/>
      <c r="AM105" s="4">
        <f t="shared" si="106"/>
        <v>0</v>
      </c>
      <c r="AN105" s="4"/>
      <c r="AO105" s="4">
        <f t="shared" si="107"/>
        <v>0</v>
      </c>
      <c r="AP105" s="4"/>
      <c r="AQ105" s="2">
        <f t="shared" si="108"/>
        <v>0</v>
      </c>
      <c r="AU105" s="228">
        <v>320</v>
      </c>
      <c r="AV105" s="4"/>
      <c r="AW105" s="173">
        <f t="shared" si="109"/>
        <v>0</v>
      </c>
      <c r="AX105" s="4"/>
      <c r="AY105" s="173">
        <f t="shared" si="110"/>
        <v>0</v>
      </c>
      <c r="AZ105" s="4"/>
      <c r="BA105" s="4">
        <f t="shared" si="111"/>
        <v>0</v>
      </c>
      <c r="BB105" s="4"/>
      <c r="BC105" s="4">
        <f t="shared" si="112"/>
        <v>0</v>
      </c>
      <c r="BD105" s="4"/>
      <c r="BE105" s="2">
        <f t="shared" si="113"/>
        <v>0</v>
      </c>
      <c r="BI105" s="228">
        <v>320</v>
      </c>
      <c r="BJ105" s="4"/>
      <c r="BK105" s="173">
        <f t="shared" si="114"/>
        <v>0</v>
      </c>
      <c r="BL105" s="4"/>
      <c r="BM105" s="173">
        <f t="shared" si="115"/>
        <v>0</v>
      </c>
      <c r="BN105" s="4"/>
      <c r="BO105" s="4">
        <f t="shared" si="116"/>
        <v>0</v>
      </c>
      <c r="BP105" s="4"/>
      <c r="BQ105" s="4">
        <f t="shared" si="117"/>
        <v>0</v>
      </c>
      <c r="BR105" s="4"/>
      <c r="BS105" s="2">
        <f t="shared" si="118"/>
        <v>0</v>
      </c>
      <c r="BW105" s="228">
        <v>320</v>
      </c>
      <c r="BX105" s="4"/>
      <c r="BY105" s="173">
        <f t="shared" si="119"/>
        <v>0</v>
      </c>
      <c r="BZ105" s="4"/>
      <c r="CA105" s="173">
        <f t="shared" si="120"/>
        <v>0</v>
      </c>
      <c r="CB105" s="4"/>
      <c r="CC105" s="4">
        <f>CB105-CB104</f>
        <v>0</v>
      </c>
      <c r="CD105" s="4"/>
      <c r="CE105" s="4">
        <f t="shared" si="121"/>
        <v>0</v>
      </c>
      <c r="CF105" s="4"/>
      <c r="CG105" s="2">
        <f t="shared" si="122"/>
        <v>0</v>
      </c>
      <c r="CY105" s="228">
        <v>320</v>
      </c>
      <c r="CZ105" s="4"/>
      <c r="DA105" s="173">
        <f t="shared" si="123"/>
        <v>0</v>
      </c>
      <c r="DB105" s="4"/>
      <c r="DC105" s="173">
        <f t="shared" si="124"/>
        <v>0</v>
      </c>
      <c r="DD105" s="4"/>
      <c r="DE105" s="4">
        <f>DD105-DD104</f>
        <v>0</v>
      </c>
      <c r="DF105" s="4"/>
      <c r="DG105" s="4">
        <f t="shared" si="125"/>
        <v>0</v>
      </c>
      <c r="DH105" s="4"/>
      <c r="DI105" s="2">
        <f t="shared" si="126"/>
        <v>0</v>
      </c>
    </row>
    <row r="106" spans="1:113" x14ac:dyDescent="0.35">
      <c r="A106" s="249" t="s">
        <v>473</v>
      </c>
      <c r="B106" s="34" t="s">
        <v>749</v>
      </c>
      <c r="C106" s="39">
        <v>94</v>
      </c>
      <c r="D106" s="50"/>
      <c r="E106" s="5"/>
      <c r="F106" s="5"/>
      <c r="G106" s="5"/>
      <c r="H106" s="5"/>
      <c r="I106" s="5"/>
      <c r="J106" s="5"/>
      <c r="K106" s="3"/>
      <c r="L106" s="4"/>
      <c r="M106" s="4"/>
      <c r="N106" s="4"/>
      <c r="O106" s="4"/>
      <c r="P106" s="4"/>
      <c r="Q106" s="4"/>
      <c r="S106" s="228">
        <v>330</v>
      </c>
      <c r="T106" s="4"/>
      <c r="U106" s="173">
        <f t="shared" si="99"/>
        <v>0</v>
      </c>
      <c r="V106" s="4"/>
      <c r="W106" s="173">
        <f t="shared" si="100"/>
        <v>0</v>
      </c>
      <c r="X106" s="4"/>
      <c r="Y106" s="4">
        <f t="shared" si="101"/>
        <v>0</v>
      </c>
      <c r="Z106" s="4"/>
      <c r="AA106" s="173">
        <f t="shared" si="102"/>
        <v>0</v>
      </c>
      <c r="AB106" s="4"/>
      <c r="AC106" s="174">
        <f t="shared" si="103"/>
        <v>0</v>
      </c>
      <c r="AG106" s="228">
        <v>330</v>
      </c>
      <c r="AH106" s="4"/>
      <c r="AI106" s="173">
        <f t="shared" si="104"/>
        <v>0</v>
      </c>
      <c r="AJ106" s="4"/>
      <c r="AK106" s="173">
        <f t="shared" si="105"/>
        <v>0</v>
      </c>
      <c r="AL106" s="4"/>
      <c r="AM106" s="4">
        <f t="shared" si="106"/>
        <v>0</v>
      </c>
      <c r="AN106" s="4"/>
      <c r="AO106" s="173">
        <f t="shared" si="107"/>
        <v>0</v>
      </c>
      <c r="AP106" s="4"/>
      <c r="AQ106" s="174">
        <f t="shared" si="108"/>
        <v>0</v>
      </c>
      <c r="AU106" s="228">
        <v>330</v>
      </c>
      <c r="AV106" s="4"/>
      <c r="AW106" s="173">
        <f t="shared" si="109"/>
        <v>0</v>
      </c>
      <c r="AX106" s="4"/>
      <c r="AY106" s="173">
        <f t="shared" si="110"/>
        <v>0</v>
      </c>
      <c r="AZ106" s="4"/>
      <c r="BA106" s="4">
        <f t="shared" si="111"/>
        <v>0</v>
      </c>
      <c r="BB106" s="4"/>
      <c r="BC106" s="173">
        <f t="shared" si="112"/>
        <v>0</v>
      </c>
      <c r="BD106" s="4"/>
      <c r="BE106" s="174">
        <f t="shared" si="113"/>
        <v>0</v>
      </c>
      <c r="BI106" s="228">
        <v>330</v>
      </c>
      <c r="BJ106" s="4"/>
      <c r="BK106" s="173">
        <f t="shared" si="114"/>
        <v>0</v>
      </c>
      <c r="BL106" s="4"/>
      <c r="BM106" s="173">
        <f t="shared" si="115"/>
        <v>0</v>
      </c>
      <c r="BN106" s="4"/>
      <c r="BO106" s="4">
        <f t="shared" si="116"/>
        <v>0</v>
      </c>
      <c r="BP106" s="4"/>
      <c r="BQ106" s="173">
        <f t="shared" si="117"/>
        <v>0</v>
      </c>
      <c r="BR106" s="4"/>
      <c r="BS106" s="174">
        <f t="shared" si="118"/>
        <v>0</v>
      </c>
      <c r="BW106" s="228">
        <v>330</v>
      </c>
      <c r="BX106" s="4"/>
      <c r="BY106" s="173">
        <f t="shared" si="119"/>
        <v>0</v>
      </c>
      <c r="BZ106" s="4"/>
      <c r="CA106" s="173">
        <f t="shared" si="120"/>
        <v>0</v>
      </c>
      <c r="CB106" s="4"/>
      <c r="CC106" s="4">
        <f t="shared" ref="CC106:CC121" si="127">CB106-CB105</f>
        <v>0</v>
      </c>
      <c r="CD106" s="4"/>
      <c r="CE106" s="173">
        <f t="shared" si="121"/>
        <v>0</v>
      </c>
      <c r="CF106" s="4"/>
      <c r="CG106" s="174">
        <f t="shared" si="122"/>
        <v>0</v>
      </c>
      <c r="CY106" s="228">
        <v>330</v>
      </c>
      <c r="CZ106" s="4"/>
      <c r="DA106" s="173">
        <f t="shared" si="123"/>
        <v>0</v>
      </c>
      <c r="DB106" s="4"/>
      <c r="DC106" s="173">
        <f t="shared" si="124"/>
        <v>0</v>
      </c>
      <c r="DD106" s="4"/>
      <c r="DE106" s="4">
        <f t="shared" ref="DE106:DE121" si="128">DD106-DD105</f>
        <v>0</v>
      </c>
      <c r="DF106" s="4"/>
      <c r="DG106" s="173">
        <f t="shared" si="125"/>
        <v>0</v>
      </c>
      <c r="DH106" s="4"/>
      <c r="DI106" s="174">
        <f t="shared" si="126"/>
        <v>0</v>
      </c>
    </row>
    <row r="107" spans="1:113" x14ac:dyDescent="0.35">
      <c r="A107" s="350" t="s">
        <v>756</v>
      </c>
      <c r="B107" s="351"/>
      <c r="C107" s="30" t="s">
        <v>814</v>
      </c>
      <c r="D107" s="49"/>
      <c r="E107" s="4"/>
      <c r="F107" s="4"/>
      <c r="G107" s="4"/>
      <c r="H107" s="4"/>
      <c r="I107" s="4"/>
      <c r="J107" s="4"/>
      <c r="K107" s="2"/>
      <c r="L107" s="4"/>
      <c r="M107" s="4"/>
      <c r="N107" s="4"/>
      <c r="O107" s="4"/>
      <c r="P107" s="4"/>
      <c r="Q107" s="4"/>
      <c r="S107" s="228">
        <v>340</v>
      </c>
      <c r="T107" s="4"/>
      <c r="U107" s="173">
        <f t="shared" si="99"/>
        <v>0</v>
      </c>
      <c r="V107" s="4"/>
      <c r="W107" s="173">
        <f t="shared" si="100"/>
        <v>0</v>
      </c>
      <c r="X107" s="4"/>
      <c r="Y107" s="4">
        <f t="shared" si="101"/>
        <v>0</v>
      </c>
      <c r="Z107" s="4"/>
      <c r="AA107" s="173">
        <f t="shared" si="102"/>
        <v>0</v>
      </c>
      <c r="AB107" s="4"/>
      <c r="AC107" s="174">
        <f t="shared" si="103"/>
        <v>0</v>
      </c>
      <c r="AG107" s="228">
        <v>340</v>
      </c>
      <c r="AH107" s="4"/>
      <c r="AI107" s="173">
        <f t="shared" si="104"/>
        <v>0</v>
      </c>
      <c r="AJ107" s="4"/>
      <c r="AK107" s="173">
        <f t="shared" si="105"/>
        <v>0</v>
      </c>
      <c r="AL107" s="4"/>
      <c r="AM107" s="4">
        <f t="shared" si="106"/>
        <v>0</v>
      </c>
      <c r="AN107" s="4"/>
      <c r="AO107" s="173">
        <f t="shared" si="107"/>
        <v>0</v>
      </c>
      <c r="AP107" s="4"/>
      <c r="AQ107" s="174">
        <f t="shared" si="108"/>
        <v>0</v>
      </c>
      <c r="AU107" s="228">
        <v>340</v>
      </c>
      <c r="AV107" s="4"/>
      <c r="AW107" s="173">
        <f t="shared" si="109"/>
        <v>0</v>
      </c>
      <c r="AX107" s="4"/>
      <c r="AY107" s="173">
        <f t="shared" si="110"/>
        <v>0</v>
      </c>
      <c r="AZ107" s="4"/>
      <c r="BA107" s="4">
        <f t="shared" si="111"/>
        <v>0</v>
      </c>
      <c r="BB107" s="4"/>
      <c r="BC107" s="173">
        <f t="shared" si="112"/>
        <v>0</v>
      </c>
      <c r="BD107" s="4"/>
      <c r="BE107" s="174">
        <f t="shared" si="113"/>
        <v>0</v>
      </c>
      <c r="BI107" s="228">
        <v>340</v>
      </c>
      <c r="BJ107" s="4"/>
      <c r="BK107" s="173">
        <f t="shared" si="114"/>
        <v>0</v>
      </c>
      <c r="BL107" s="4"/>
      <c r="BM107" s="173">
        <f t="shared" si="115"/>
        <v>0</v>
      </c>
      <c r="BN107" s="4"/>
      <c r="BO107" s="4">
        <f t="shared" si="116"/>
        <v>0</v>
      </c>
      <c r="BP107" s="4"/>
      <c r="BQ107" s="173">
        <f t="shared" si="117"/>
        <v>0</v>
      </c>
      <c r="BR107" s="4"/>
      <c r="BS107" s="174">
        <f t="shared" si="118"/>
        <v>0</v>
      </c>
      <c r="BW107" s="228">
        <v>340</v>
      </c>
      <c r="BX107" s="4"/>
      <c r="BY107" s="173">
        <f t="shared" si="119"/>
        <v>0</v>
      </c>
      <c r="BZ107" s="4"/>
      <c r="CA107" s="173">
        <f t="shared" si="120"/>
        <v>0</v>
      </c>
      <c r="CB107" s="4"/>
      <c r="CC107" s="4">
        <f t="shared" si="127"/>
        <v>0</v>
      </c>
      <c r="CD107" s="4"/>
      <c r="CE107" s="173">
        <f t="shared" si="121"/>
        <v>0</v>
      </c>
      <c r="CF107" s="4"/>
      <c r="CG107" s="174">
        <f t="shared" si="122"/>
        <v>0</v>
      </c>
      <c r="CY107" s="228">
        <v>340</v>
      </c>
      <c r="CZ107" s="4"/>
      <c r="DA107" s="173">
        <f t="shared" si="123"/>
        <v>0</v>
      </c>
      <c r="DB107" s="4"/>
      <c r="DC107" s="173">
        <f t="shared" si="124"/>
        <v>0</v>
      </c>
      <c r="DD107" s="4"/>
      <c r="DE107" s="4">
        <f t="shared" si="128"/>
        <v>0</v>
      </c>
      <c r="DF107" s="4"/>
      <c r="DG107" s="173">
        <f t="shared" si="125"/>
        <v>0</v>
      </c>
      <c r="DH107" s="4"/>
      <c r="DI107" s="174">
        <f t="shared" si="126"/>
        <v>0</v>
      </c>
    </row>
    <row r="108" spans="1:113" x14ac:dyDescent="0.35">
      <c r="A108" s="28" t="s">
        <v>1056</v>
      </c>
      <c r="B108" s="29" t="s">
        <v>809</v>
      </c>
      <c r="C108" s="30">
        <v>0</v>
      </c>
      <c r="D108" s="49"/>
      <c r="E108" s="4"/>
      <c r="F108" s="4"/>
      <c r="G108" s="4"/>
      <c r="H108" s="4"/>
      <c r="I108" s="4"/>
      <c r="J108" s="4"/>
      <c r="K108" s="2"/>
      <c r="L108" s="4"/>
      <c r="M108" s="4"/>
      <c r="N108" s="4"/>
      <c r="O108" s="4"/>
      <c r="P108" s="4"/>
      <c r="Q108" s="4"/>
      <c r="S108" s="228">
        <v>350</v>
      </c>
      <c r="T108" s="4"/>
      <c r="U108" s="173">
        <f t="shared" si="99"/>
        <v>0</v>
      </c>
      <c r="V108" s="4"/>
      <c r="W108" s="173">
        <f t="shared" si="100"/>
        <v>0</v>
      </c>
      <c r="X108" s="4"/>
      <c r="Y108" s="4">
        <f t="shared" si="101"/>
        <v>0</v>
      </c>
      <c r="Z108" s="4"/>
      <c r="AA108" s="173">
        <f t="shared" si="102"/>
        <v>0</v>
      </c>
      <c r="AB108" s="4"/>
      <c r="AC108" s="174">
        <f t="shared" si="103"/>
        <v>0</v>
      </c>
      <c r="AG108" s="228">
        <v>350</v>
      </c>
      <c r="AH108" s="4"/>
      <c r="AI108" s="173">
        <f t="shared" si="104"/>
        <v>0</v>
      </c>
      <c r="AJ108" s="4"/>
      <c r="AK108" s="173">
        <f t="shared" si="105"/>
        <v>0</v>
      </c>
      <c r="AL108" s="4"/>
      <c r="AM108" s="4">
        <f t="shared" si="106"/>
        <v>0</v>
      </c>
      <c r="AN108" s="4"/>
      <c r="AO108" s="173">
        <f t="shared" si="107"/>
        <v>0</v>
      </c>
      <c r="AP108" s="4"/>
      <c r="AQ108" s="174">
        <f t="shared" si="108"/>
        <v>0</v>
      </c>
      <c r="AU108" s="228">
        <v>350</v>
      </c>
      <c r="AV108" s="4"/>
      <c r="AW108" s="173">
        <f t="shared" si="109"/>
        <v>0</v>
      </c>
      <c r="AX108" s="4"/>
      <c r="AY108" s="173">
        <f t="shared" si="110"/>
        <v>0</v>
      </c>
      <c r="AZ108" s="4"/>
      <c r="BA108" s="4">
        <f t="shared" si="111"/>
        <v>0</v>
      </c>
      <c r="BB108" s="4"/>
      <c r="BC108" s="173">
        <f t="shared" si="112"/>
        <v>0</v>
      </c>
      <c r="BD108" s="4"/>
      <c r="BE108" s="174">
        <f t="shared" si="113"/>
        <v>0</v>
      </c>
      <c r="BI108" s="228">
        <v>350</v>
      </c>
      <c r="BJ108" s="4"/>
      <c r="BK108" s="173">
        <f t="shared" si="114"/>
        <v>0</v>
      </c>
      <c r="BL108" s="4"/>
      <c r="BM108" s="173">
        <f t="shared" si="115"/>
        <v>0</v>
      </c>
      <c r="BN108" s="4"/>
      <c r="BO108" s="4">
        <f t="shared" si="116"/>
        <v>0</v>
      </c>
      <c r="BP108" s="4"/>
      <c r="BQ108" s="173">
        <f t="shared" si="117"/>
        <v>0</v>
      </c>
      <c r="BR108" s="4"/>
      <c r="BS108" s="174">
        <f t="shared" si="118"/>
        <v>0</v>
      </c>
      <c r="BW108" s="228">
        <v>350</v>
      </c>
      <c r="BX108" s="4"/>
      <c r="BY108" s="173">
        <f t="shared" si="119"/>
        <v>0</v>
      </c>
      <c r="BZ108" s="4"/>
      <c r="CA108" s="173">
        <f t="shared" si="120"/>
        <v>0</v>
      </c>
      <c r="CB108" s="4"/>
      <c r="CC108" s="4">
        <f t="shared" si="127"/>
        <v>0</v>
      </c>
      <c r="CD108" s="4"/>
      <c r="CE108" s="173">
        <f t="shared" si="121"/>
        <v>0</v>
      </c>
      <c r="CF108" s="4"/>
      <c r="CG108" s="174">
        <f t="shared" si="122"/>
        <v>0</v>
      </c>
      <c r="CY108" s="228">
        <v>350</v>
      </c>
      <c r="CZ108" s="4"/>
      <c r="DA108" s="173">
        <f t="shared" si="123"/>
        <v>0</v>
      </c>
      <c r="DB108" s="4"/>
      <c r="DC108" s="173">
        <f t="shared" si="124"/>
        <v>0</v>
      </c>
      <c r="DD108" s="4"/>
      <c r="DE108" s="4">
        <f t="shared" si="128"/>
        <v>0</v>
      </c>
      <c r="DF108" s="4"/>
      <c r="DG108" s="173">
        <f t="shared" si="125"/>
        <v>0</v>
      </c>
      <c r="DH108" s="4"/>
      <c r="DI108" s="174">
        <f t="shared" si="126"/>
        <v>0</v>
      </c>
    </row>
    <row r="109" spans="1:113" x14ac:dyDescent="0.35">
      <c r="A109" s="28" t="s">
        <v>1057</v>
      </c>
      <c r="B109" s="29" t="s">
        <v>810</v>
      </c>
      <c r="C109" s="30">
        <v>0</v>
      </c>
      <c r="D109" s="49"/>
      <c r="E109" s="4"/>
      <c r="F109" s="4"/>
      <c r="G109" s="4"/>
      <c r="H109" s="4"/>
      <c r="I109" s="4"/>
      <c r="J109" s="4"/>
      <c r="K109" s="2"/>
      <c r="L109" s="4"/>
      <c r="M109" s="4"/>
      <c r="N109" s="4"/>
      <c r="O109" s="4"/>
      <c r="P109" s="4"/>
      <c r="Q109" s="4"/>
      <c r="S109" s="228">
        <v>360</v>
      </c>
      <c r="T109" s="4"/>
      <c r="U109" s="173">
        <f t="shared" si="99"/>
        <v>0</v>
      </c>
      <c r="V109" s="4"/>
      <c r="W109" s="173">
        <f t="shared" si="100"/>
        <v>0</v>
      </c>
      <c r="X109" s="4"/>
      <c r="Y109" s="4">
        <f t="shared" si="101"/>
        <v>0</v>
      </c>
      <c r="Z109" s="4"/>
      <c r="AA109" s="173">
        <f t="shared" si="102"/>
        <v>0</v>
      </c>
      <c r="AB109" s="4"/>
      <c r="AC109" s="174">
        <f t="shared" si="103"/>
        <v>0</v>
      </c>
      <c r="AG109" s="228">
        <v>360</v>
      </c>
      <c r="AH109" s="4"/>
      <c r="AI109" s="173">
        <f t="shared" si="104"/>
        <v>0</v>
      </c>
      <c r="AJ109" s="4"/>
      <c r="AK109" s="173">
        <f t="shared" si="105"/>
        <v>0</v>
      </c>
      <c r="AL109" s="4"/>
      <c r="AM109" s="4">
        <f t="shared" si="106"/>
        <v>0</v>
      </c>
      <c r="AN109" s="4"/>
      <c r="AO109" s="173">
        <f t="shared" si="107"/>
        <v>0</v>
      </c>
      <c r="AP109" s="4"/>
      <c r="AQ109" s="174">
        <f t="shared" si="108"/>
        <v>0</v>
      </c>
      <c r="AU109" s="228">
        <v>360</v>
      </c>
      <c r="AV109" s="4"/>
      <c r="AW109" s="173">
        <f t="shared" si="109"/>
        <v>0</v>
      </c>
      <c r="AX109" s="4"/>
      <c r="AY109" s="173">
        <f t="shared" si="110"/>
        <v>0</v>
      </c>
      <c r="AZ109" s="4"/>
      <c r="BA109" s="4">
        <f t="shared" si="111"/>
        <v>0</v>
      </c>
      <c r="BB109" s="4"/>
      <c r="BC109" s="173">
        <f t="shared" si="112"/>
        <v>0</v>
      </c>
      <c r="BD109" s="4"/>
      <c r="BE109" s="174">
        <f t="shared" si="113"/>
        <v>0</v>
      </c>
      <c r="BI109" s="228">
        <v>360</v>
      </c>
      <c r="BJ109" s="4"/>
      <c r="BK109" s="173">
        <f t="shared" si="114"/>
        <v>0</v>
      </c>
      <c r="BL109" s="4"/>
      <c r="BM109" s="173">
        <f t="shared" si="115"/>
        <v>0</v>
      </c>
      <c r="BN109" s="4"/>
      <c r="BO109" s="4">
        <f t="shared" si="116"/>
        <v>0</v>
      </c>
      <c r="BP109" s="4"/>
      <c r="BQ109" s="173">
        <f t="shared" si="117"/>
        <v>0</v>
      </c>
      <c r="BR109" s="4"/>
      <c r="BS109" s="174">
        <f t="shared" si="118"/>
        <v>0</v>
      </c>
      <c r="BW109" s="228">
        <v>360</v>
      </c>
      <c r="BX109" s="4"/>
      <c r="BY109" s="173">
        <f t="shared" si="119"/>
        <v>0</v>
      </c>
      <c r="BZ109" s="4"/>
      <c r="CA109" s="173">
        <f t="shared" si="120"/>
        <v>0</v>
      </c>
      <c r="CB109" s="4"/>
      <c r="CC109" s="4">
        <f t="shared" si="127"/>
        <v>0</v>
      </c>
      <c r="CD109" s="4"/>
      <c r="CE109" s="173">
        <f t="shared" si="121"/>
        <v>0</v>
      </c>
      <c r="CF109" s="4"/>
      <c r="CG109" s="174">
        <f t="shared" si="122"/>
        <v>0</v>
      </c>
      <c r="CY109" s="228">
        <v>360</v>
      </c>
      <c r="CZ109" s="4"/>
      <c r="DA109" s="173">
        <f t="shared" si="123"/>
        <v>0</v>
      </c>
      <c r="DB109" s="4"/>
      <c r="DC109" s="173">
        <f t="shared" si="124"/>
        <v>0</v>
      </c>
      <c r="DD109" s="4"/>
      <c r="DE109" s="4">
        <f t="shared" si="128"/>
        <v>0</v>
      </c>
      <c r="DF109" s="4"/>
      <c r="DG109" s="173">
        <f t="shared" si="125"/>
        <v>0</v>
      </c>
      <c r="DH109" s="4"/>
      <c r="DI109" s="174">
        <f t="shared" si="126"/>
        <v>0</v>
      </c>
    </row>
    <row r="110" spans="1:113" x14ac:dyDescent="0.35">
      <c r="A110" s="28" t="s">
        <v>1058</v>
      </c>
      <c r="B110" s="29" t="s">
        <v>811</v>
      </c>
      <c r="C110" s="30">
        <v>42</v>
      </c>
      <c r="D110" s="49"/>
      <c r="E110" s="4"/>
      <c r="F110" s="4"/>
      <c r="G110" s="4"/>
      <c r="H110" s="4"/>
      <c r="I110" s="4"/>
      <c r="J110" s="4"/>
      <c r="K110" s="2"/>
      <c r="L110" s="4"/>
      <c r="M110" s="4"/>
      <c r="N110" s="4"/>
      <c r="O110" s="4"/>
      <c r="P110" s="4"/>
      <c r="Q110" s="4"/>
      <c r="S110" s="228">
        <v>370</v>
      </c>
      <c r="T110" s="4"/>
      <c r="U110" s="173">
        <f t="shared" si="99"/>
        <v>0</v>
      </c>
      <c r="V110" s="4"/>
      <c r="W110" s="173">
        <f t="shared" si="100"/>
        <v>0</v>
      </c>
      <c r="X110" s="4"/>
      <c r="Y110" s="4">
        <f t="shared" si="101"/>
        <v>0</v>
      </c>
      <c r="Z110" s="4"/>
      <c r="AA110" s="173">
        <f t="shared" si="102"/>
        <v>0</v>
      </c>
      <c r="AB110" s="4"/>
      <c r="AC110" s="174">
        <f t="shared" si="103"/>
        <v>0</v>
      </c>
      <c r="AG110" s="228">
        <v>370</v>
      </c>
      <c r="AH110" s="4"/>
      <c r="AI110" s="173">
        <f t="shared" si="104"/>
        <v>0</v>
      </c>
      <c r="AJ110" s="4"/>
      <c r="AK110" s="173">
        <f t="shared" si="105"/>
        <v>0</v>
      </c>
      <c r="AL110" s="4"/>
      <c r="AM110" s="4">
        <f t="shared" si="106"/>
        <v>0</v>
      </c>
      <c r="AN110" s="4"/>
      <c r="AO110" s="173">
        <f t="shared" si="107"/>
        <v>0</v>
      </c>
      <c r="AP110" s="4"/>
      <c r="AQ110" s="174">
        <f t="shared" si="108"/>
        <v>0</v>
      </c>
      <c r="AU110" s="228">
        <v>370</v>
      </c>
      <c r="AV110" s="4"/>
      <c r="AW110" s="173">
        <f t="shared" si="109"/>
        <v>0</v>
      </c>
      <c r="AX110" s="4"/>
      <c r="AY110" s="173">
        <f t="shared" si="110"/>
        <v>0</v>
      </c>
      <c r="AZ110" s="4"/>
      <c r="BA110" s="4">
        <f t="shared" si="111"/>
        <v>0</v>
      </c>
      <c r="BB110" s="4"/>
      <c r="BC110" s="173">
        <f t="shared" si="112"/>
        <v>0</v>
      </c>
      <c r="BD110" s="4"/>
      <c r="BE110" s="174">
        <f t="shared" si="113"/>
        <v>0</v>
      </c>
      <c r="BI110" s="228">
        <v>370</v>
      </c>
      <c r="BJ110" s="4"/>
      <c r="BK110" s="173">
        <f t="shared" si="114"/>
        <v>0</v>
      </c>
      <c r="BL110" s="4"/>
      <c r="BM110" s="173">
        <f t="shared" si="115"/>
        <v>0</v>
      </c>
      <c r="BN110" s="4"/>
      <c r="BO110" s="4">
        <f t="shared" si="116"/>
        <v>0</v>
      </c>
      <c r="BP110" s="4"/>
      <c r="BQ110" s="173">
        <f t="shared" si="117"/>
        <v>0</v>
      </c>
      <c r="BR110" s="4"/>
      <c r="BS110" s="174">
        <f t="shared" si="118"/>
        <v>0</v>
      </c>
      <c r="BW110" s="228">
        <v>370</v>
      </c>
      <c r="BX110" s="4"/>
      <c r="BY110" s="173">
        <f t="shared" si="119"/>
        <v>0</v>
      </c>
      <c r="BZ110" s="4"/>
      <c r="CA110" s="173">
        <f t="shared" si="120"/>
        <v>0</v>
      </c>
      <c r="CB110" s="4"/>
      <c r="CC110" s="4">
        <f t="shared" si="127"/>
        <v>0</v>
      </c>
      <c r="CD110" s="4"/>
      <c r="CE110" s="173">
        <f t="shared" si="121"/>
        <v>0</v>
      </c>
      <c r="CF110" s="4"/>
      <c r="CG110" s="174">
        <f t="shared" si="122"/>
        <v>0</v>
      </c>
      <c r="CY110" s="228">
        <v>370</v>
      </c>
      <c r="CZ110" s="4"/>
      <c r="DA110" s="173">
        <f t="shared" si="123"/>
        <v>0</v>
      </c>
      <c r="DB110" s="4"/>
      <c r="DC110" s="173">
        <f t="shared" si="124"/>
        <v>0</v>
      </c>
      <c r="DD110" s="4"/>
      <c r="DE110" s="4">
        <f t="shared" si="128"/>
        <v>0</v>
      </c>
      <c r="DF110" s="4"/>
      <c r="DG110" s="173">
        <f t="shared" si="125"/>
        <v>0</v>
      </c>
      <c r="DH110" s="4"/>
      <c r="DI110" s="174">
        <f t="shared" si="126"/>
        <v>0</v>
      </c>
    </row>
    <row r="111" spans="1:113" x14ac:dyDescent="0.35">
      <c r="A111" s="28" t="s">
        <v>1062</v>
      </c>
      <c r="B111" s="29" t="s">
        <v>812</v>
      </c>
      <c r="C111" s="30">
        <v>42</v>
      </c>
      <c r="D111" s="49"/>
      <c r="E111" s="4"/>
      <c r="F111" s="4"/>
      <c r="G111" s="4"/>
      <c r="H111" s="4"/>
      <c r="I111" s="4"/>
      <c r="J111" s="4"/>
      <c r="K111" s="2"/>
      <c r="L111" s="4"/>
      <c r="M111" s="4"/>
      <c r="N111" s="4"/>
      <c r="O111" s="4"/>
      <c r="P111" s="4"/>
      <c r="Q111" s="4"/>
      <c r="S111" s="228">
        <v>380</v>
      </c>
      <c r="T111" s="4"/>
      <c r="U111" s="173">
        <f t="shared" si="99"/>
        <v>0</v>
      </c>
      <c r="V111" s="4"/>
      <c r="W111" s="173">
        <f t="shared" si="100"/>
        <v>0</v>
      </c>
      <c r="X111" s="4"/>
      <c r="Y111" s="4">
        <f t="shared" si="101"/>
        <v>0</v>
      </c>
      <c r="Z111" s="4"/>
      <c r="AA111" s="173">
        <f t="shared" si="102"/>
        <v>0</v>
      </c>
      <c r="AB111" s="4"/>
      <c r="AC111" s="174">
        <f t="shared" si="103"/>
        <v>0</v>
      </c>
      <c r="AG111" s="228">
        <v>380</v>
      </c>
      <c r="AH111" s="4"/>
      <c r="AI111" s="173">
        <f t="shared" si="104"/>
        <v>0</v>
      </c>
      <c r="AJ111" s="4"/>
      <c r="AK111" s="173">
        <f t="shared" si="105"/>
        <v>0</v>
      </c>
      <c r="AL111" s="4"/>
      <c r="AM111" s="4">
        <f t="shared" si="106"/>
        <v>0</v>
      </c>
      <c r="AN111" s="4"/>
      <c r="AO111" s="173">
        <f t="shared" si="107"/>
        <v>0</v>
      </c>
      <c r="AP111" s="4"/>
      <c r="AQ111" s="174">
        <f t="shared" si="108"/>
        <v>0</v>
      </c>
      <c r="AU111" s="228">
        <v>380</v>
      </c>
      <c r="AV111" s="4"/>
      <c r="AW111" s="173">
        <f t="shared" si="109"/>
        <v>0</v>
      </c>
      <c r="AX111" s="4"/>
      <c r="AY111" s="173">
        <f t="shared" si="110"/>
        <v>0</v>
      </c>
      <c r="AZ111" s="4"/>
      <c r="BA111" s="4">
        <f t="shared" si="111"/>
        <v>0</v>
      </c>
      <c r="BB111" s="4"/>
      <c r="BC111" s="173">
        <f t="shared" si="112"/>
        <v>0</v>
      </c>
      <c r="BD111" s="4"/>
      <c r="BE111" s="174">
        <f t="shared" si="113"/>
        <v>0</v>
      </c>
      <c r="BI111" s="228">
        <v>380</v>
      </c>
      <c r="BJ111" s="4"/>
      <c r="BK111" s="173">
        <f t="shared" si="114"/>
        <v>0</v>
      </c>
      <c r="BL111" s="4"/>
      <c r="BM111" s="173">
        <f t="shared" si="115"/>
        <v>0</v>
      </c>
      <c r="BN111" s="4"/>
      <c r="BO111" s="4">
        <f t="shared" si="116"/>
        <v>0</v>
      </c>
      <c r="BP111" s="4"/>
      <c r="BQ111" s="173">
        <f t="shared" si="117"/>
        <v>0</v>
      </c>
      <c r="BR111" s="4"/>
      <c r="BS111" s="174">
        <f t="shared" si="118"/>
        <v>0</v>
      </c>
      <c r="BW111" s="228">
        <v>380</v>
      </c>
      <c r="BX111" s="4"/>
      <c r="BY111" s="173">
        <f t="shared" si="119"/>
        <v>0</v>
      </c>
      <c r="BZ111" s="4"/>
      <c r="CA111" s="173">
        <f t="shared" si="120"/>
        <v>0</v>
      </c>
      <c r="CB111" s="4"/>
      <c r="CC111" s="4">
        <f t="shared" si="127"/>
        <v>0</v>
      </c>
      <c r="CD111" s="4"/>
      <c r="CE111" s="173">
        <f t="shared" si="121"/>
        <v>0</v>
      </c>
      <c r="CF111" s="4"/>
      <c r="CG111" s="174">
        <f t="shared" si="122"/>
        <v>0</v>
      </c>
      <c r="CY111" s="228">
        <v>380</v>
      </c>
      <c r="CZ111" s="4"/>
      <c r="DA111" s="173">
        <f t="shared" si="123"/>
        <v>0</v>
      </c>
      <c r="DB111" s="4"/>
      <c r="DC111" s="173">
        <f t="shared" si="124"/>
        <v>0</v>
      </c>
      <c r="DD111" s="4"/>
      <c r="DE111" s="4">
        <f t="shared" si="128"/>
        <v>0</v>
      </c>
      <c r="DF111" s="4"/>
      <c r="DG111" s="173">
        <f t="shared" si="125"/>
        <v>0</v>
      </c>
      <c r="DH111" s="4"/>
      <c r="DI111" s="174">
        <f t="shared" si="126"/>
        <v>0</v>
      </c>
    </row>
    <row r="112" spans="1:113" x14ac:dyDescent="0.35">
      <c r="A112" s="367" t="s">
        <v>26</v>
      </c>
      <c r="B112" s="351"/>
      <c r="C112" s="43"/>
      <c r="D112" s="46"/>
      <c r="E112" s="57"/>
      <c r="F112" s="57"/>
      <c r="G112" s="57"/>
      <c r="H112" s="57"/>
      <c r="I112" s="57"/>
      <c r="J112" s="57"/>
      <c r="K112" s="82"/>
      <c r="L112" s="8"/>
      <c r="M112" s="8"/>
      <c r="N112" s="8"/>
      <c r="O112" s="8"/>
      <c r="P112" s="8"/>
      <c r="Q112" s="4"/>
      <c r="S112" s="228">
        <v>390</v>
      </c>
      <c r="T112" s="4"/>
      <c r="U112" s="173">
        <f t="shared" si="99"/>
        <v>0</v>
      </c>
      <c r="V112" s="4"/>
      <c r="W112" s="173">
        <f t="shared" si="100"/>
        <v>0</v>
      </c>
      <c r="X112" s="4"/>
      <c r="Y112" s="173">
        <f t="shared" si="101"/>
        <v>0</v>
      </c>
      <c r="Z112" s="4"/>
      <c r="AA112" s="173">
        <f t="shared" si="102"/>
        <v>0</v>
      </c>
      <c r="AB112" s="4"/>
      <c r="AC112" s="174">
        <f t="shared" si="103"/>
        <v>0</v>
      </c>
      <c r="AG112" s="228">
        <v>390</v>
      </c>
      <c r="AH112" s="4"/>
      <c r="AI112" s="173">
        <f t="shared" si="104"/>
        <v>0</v>
      </c>
      <c r="AJ112" s="4"/>
      <c r="AK112" s="173">
        <f t="shared" si="105"/>
        <v>0</v>
      </c>
      <c r="AL112" s="4"/>
      <c r="AM112" s="173">
        <f t="shared" si="106"/>
        <v>0</v>
      </c>
      <c r="AN112" s="4"/>
      <c r="AO112" s="173">
        <f t="shared" si="107"/>
        <v>0</v>
      </c>
      <c r="AP112" s="4"/>
      <c r="AQ112" s="174">
        <f t="shared" si="108"/>
        <v>0</v>
      </c>
      <c r="AU112" s="228">
        <v>390</v>
      </c>
      <c r="AV112" s="4"/>
      <c r="AW112" s="173">
        <f t="shared" si="109"/>
        <v>0</v>
      </c>
      <c r="AX112" s="4"/>
      <c r="AY112" s="173">
        <f t="shared" si="110"/>
        <v>0</v>
      </c>
      <c r="AZ112" s="4"/>
      <c r="BA112" s="173">
        <f t="shared" si="111"/>
        <v>0</v>
      </c>
      <c r="BB112" s="4"/>
      <c r="BC112" s="173">
        <f t="shared" si="112"/>
        <v>0</v>
      </c>
      <c r="BD112" s="4"/>
      <c r="BE112" s="174">
        <f t="shared" si="113"/>
        <v>0</v>
      </c>
      <c r="BI112" s="228">
        <v>390</v>
      </c>
      <c r="BJ112" s="4"/>
      <c r="BK112" s="173">
        <f t="shared" si="114"/>
        <v>0</v>
      </c>
      <c r="BL112" s="4"/>
      <c r="BM112" s="173">
        <f t="shared" si="115"/>
        <v>0</v>
      </c>
      <c r="BN112" s="4"/>
      <c r="BO112" s="173">
        <f t="shared" si="116"/>
        <v>0</v>
      </c>
      <c r="BP112" s="4"/>
      <c r="BQ112" s="173">
        <f t="shared" si="117"/>
        <v>0</v>
      </c>
      <c r="BR112" s="4"/>
      <c r="BS112" s="174">
        <f t="shared" si="118"/>
        <v>0</v>
      </c>
      <c r="BW112" s="228">
        <v>390</v>
      </c>
      <c r="BX112" s="4"/>
      <c r="BY112" s="173">
        <f t="shared" si="119"/>
        <v>0</v>
      </c>
      <c r="BZ112" s="4"/>
      <c r="CA112" s="173">
        <f t="shared" si="120"/>
        <v>0</v>
      </c>
      <c r="CB112" s="4"/>
      <c r="CC112" s="173">
        <f t="shared" si="127"/>
        <v>0</v>
      </c>
      <c r="CD112" s="4"/>
      <c r="CE112" s="173">
        <f t="shared" si="121"/>
        <v>0</v>
      </c>
      <c r="CF112" s="4"/>
      <c r="CG112" s="174">
        <f t="shared" si="122"/>
        <v>0</v>
      </c>
      <c r="CY112" s="228">
        <v>390</v>
      </c>
      <c r="CZ112" s="4"/>
      <c r="DA112" s="173">
        <f t="shared" si="123"/>
        <v>0</v>
      </c>
      <c r="DB112" s="4"/>
      <c r="DC112" s="173">
        <f t="shared" si="124"/>
        <v>0</v>
      </c>
      <c r="DD112" s="4"/>
      <c r="DE112" s="173">
        <f t="shared" si="128"/>
        <v>0</v>
      </c>
      <c r="DF112" s="4"/>
      <c r="DG112" s="173">
        <f t="shared" si="125"/>
        <v>0</v>
      </c>
      <c r="DH112" s="4"/>
      <c r="DI112" s="174">
        <f t="shared" si="126"/>
        <v>0</v>
      </c>
    </row>
    <row r="113" spans="1:115" x14ac:dyDescent="0.35">
      <c r="A113" s="12" t="s">
        <v>1051</v>
      </c>
      <c r="B113" s="29" t="s">
        <v>115</v>
      </c>
      <c r="C113" s="30"/>
      <c r="D113" s="47"/>
      <c r="E113" s="4"/>
      <c r="F113" s="4"/>
      <c r="G113" s="4"/>
      <c r="H113" s="4"/>
      <c r="I113" s="4"/>
      <c r="J113" s="4"/>
      <c r="K113" s="2"/>
      <c r="L113" s="4"/>
      <c r="M113" s="4"/>
      <c r="N113" s="4"/>
      <c r="O113" s="4"/>
      <c r="P113" s="4"/>
      <c r="Q113" s="4"/>
      <c r="S113" s="228">
        <v>400</v>
      </c>
      <c r="T113" s="4"/>
      <c r="U113" s="173">
        <f t="shared" si="99"/>
        <v>0</v>
      </c>
      <c r="V113" s="4"/>
      <c r="W113" s="173">
        <f t="shared" si="100"/>
        <v>0</v>
      </c>
      <c r="X113" s="4"/>
      <c r="Y113" s="173">
        <f t="shared" si="101"/>
        <v>0</v>
      </c>
      <c r="Z113" s="4"/>
      <c r="AA113" s="173">
        <f t="shared" si="102"/>
        <v>0</v>
      </c>
      <c r="AB113" s="4"/>
      <c r="AC113" s="174">
        <f t="shared" si="103"/>
        <v>0</v>
      </c>
      <c r="AG113" s="228">
        <v>400</v>
      </c>
      <c r="AH113" s="4"/>
      <c r="AI113" s="173">
        <f t="shared" si="104"/>
        <v>0</v>
      </c>
      <c r="AJ113" s="4"/>
      <c r="AK113" s="173">
        <f t="shared" si="105"/>
        <v>0</v>
      </c>
      <c r="AL113" s="4"/>
      <c r="AM113" s="173">
        <f t="shared" si="106"/>
        <v>0</v>
      </c>
      <c r="AN113" s="4"/>
      <c r="AO113" s="173">
        <f t="shared" si="107"/>
        <v>0</v>
      </c>
      <c r="AP113" s="4"/>
      <c r="AQ113" s="174">
        <f t="shared" si="108"/>
        <v>0</v>
      </c>
      <c r="AU113" s="228">
        <v>400</v>
      </c>
      <c r="AV113" s="4"/>
      <c r="AW113" s="173">
        <f t="shared" si="109"/>
        <v>0</v>
      </c>
      <c r="AX113" s="4"/>
      <c r="AY113" s="173">
        <f t="shared" si="110"/>
        <v>0</v>
      </c>
      <c r="AZ113" s="4"/>
      <c r="BA113" s="173">
        <f t="shared" si="111"/>
        <v>0</v>
      </c>
      <c r="BB113" s="4"/>
      <c r="BC113" s="173">
        <f t="shared" si="112"/>
        <v>0</v>
      </c>
      <c r="BD113" s="4"/>
      <c r="BE113" s="174">
        <f t="shared" si="113"/>
        <v>0</v>
      </c>
      <c r="BI113" s="228">
        <v>400</v>
      </c>
      <c r="BJ113" s="4"/>
      <c r="BK113" s="173">
        <f t="shared" si="114"/>
        <v>0</v>
      </c>
      <c r="BL113" s="4"/>
      <c r="BM113" s="173">
        <f t="shared" si="115"/>
        <v>0</v>
      </c>
      <c r="BN113" s="4"/>
      <c r="BO113" s="173">
        <f t="shared" si="116"/>
        <v>0</v>
      </c>
      <c r="BP113" s="4"/>
      <c r="BQ113" s="173">
        <f t="shared" si="117"/>
        <v>0</v>
      </c>
      <c r="BR113" s="4"/>
      <c r="BS113" s="174">
        <f t="shared" si="118"/>
        <v>0</v>
      </c>
      <c r="BW113" s="228">
        <v>400</v>
      </c>
      <c r="BX113" s="4"/>
      <c r="BY113" s="173">
        <f t="shared" si="119"/>
        <v>0</v>
      </c>
      <c r="BZ113" s="4"/>
      <c r="CA113" s="173">
        <f t="shared" si="120"/>
        <v>0</v>
      </c>
      <c r="CB113" s="4"/>
      <c r="CC113" s="173">
        <f t="shared" si="127"/>
        <v>0</v>
      </c>
      <c r="CD113" s="4"/>
      <c r="CE113" s="173">
        <f t="shared" si="121"/>
        <v>0</v>
      </c>
      <c r="CF113" s="4"/>
      <c r="CG113" s="174">
        <f t="shared" si="122"/>
        <v>0</v>
      </c>
      <c r="CY113" s="228">
        <v>400</v>
      </c>
      <c r="CZ113" s="4"/>
      <c r="DA113" s="173">
        <f t="shared" si="123"/>
        <v>0</v>
      </c>
      <c r="DB113" s="4"/>
      <c r="DC113" s="173">
        <f t="shared" si="124"/>
        <v>0</v>
      </c>
      <c r="DD113" s="4"/>
      <c r="DE113" s="173">
        <f t="shared" si="128"/>
        <v>0</v>
      </c>
      <c r="DF113" s="4"/>
      <c r="DG113" s="173">
        <f t="shared" si="125"/>
        <v>0</v>
      </c>
      <c r="DH113" s="4"/>
      <c r="DI113" s="174">
        <f t="shared" si="126"/>
        <v>0</v>
      </c>
    </row>
    <row r="114" spans="1:115" x14ac:dyDescent="0.35">
      <c r="A114" s="14" t="s">
        <v>1027</v>
      </c>
      <c r="B114" s="34" t="s">
        <v>228</v>
      </c>
      <c r="C114" s="39"/>
      <c r="D114" s="48"/>
      <c r="E114" s="5"/>
      <c r="F114" s="5"/>
      <c r="G114" s="5"/>
      <c r="H114" s="5"/>
      <c r="I114" s="5"/>
      <c r="J114" s="5"/>
      <c r="K114" s="3"/>
      <c r="L114" s="4"/>
      <c r="M114" s="4"/>
      <c r="N114" s="4"/>
      <c r="O114" s="4"/>
      <c r="P114" s="4"/>
      <c r="Q114" s="4"/>
      <c r="S114" s="228">
        <v>410</v>
      </c>
      <c r="T114" s="4"/>
      <c r="U114" s="173">
        <f t="shared" si="99"/>
        <v>0</v>
      </c>
      <c r="V114" s="4"/>
      <c r="W114" s="173">
        <f t="shared" si="100"/>
        <v>0</v>
      </c>
      <c r="X114" s="4"/>
      <c r="Y114" s="173">
        <f t="shared" si="101"/>
        <v>0</v>
      </c>
      <c r="Z114" s="4"/>
      <c r="AA114" s="4">
        <f t="shared" si="102"/>
        <v>0</v>
      </c>
      <c r="AB114" s="4"/>
      <c r="AC114" s="174">
        <f t="shared" si="103"/>
        <v>0</v>
      </c>
      <c r="AG114" s="228">
        <v>410</v>
      </c>
      <c r="AH114" s="4"/>
      <c r="AI114" s="173">
        <f t="shared" si="104"/>
        <v>0</v>
      </c>
      <c r="AJ114" s="4"/>
      <c r="AK114" s="173">
        <f t="shared" si="105"/>
        <v>0</v>
      </c>
      <c r="AL114" s="4"/>
      <c r="AM114" s="173">
        <f t="shared" si="106"/>
        <v>0</v>
      </c>
      <c r="AN114" s="4"/>
      <c r="AO114" s="4">
        <f t="shared" si="107"/>
        <v>0</v>
      </c>
      <c r="AP114" s="4"/>
      <c r="AQ114" s="174">
        <f t="shared" si="108"/>
        <v>0</v>
      </c>
      <c r="AU114" s="228">
        <v>410</v>
      </c>
      <c r="AV114" s="4"/>
      <c r="AW114" s="173">
        <f t="shared" si="109"/>
        <v>0</v>
      </c>
      <c r="AX114" s="4"/>
      <c r="AY114" s="173">
        <f t="shared" si="110"/>
        <v>0</v>
      </c>
      <c r="AZ114" s="4"/>
      <c r="BA114" s="173">
        <f t="shared" si="111"/>
        <v>0</v>
      </c>
      <c r="BB114" s="4"/>
      <c r="BC114" s="4">
        <f t="shared" si="112"/>
        <v>0</v>
      </c>
      <c r="BD114" s="4"/>
      <c r="BE114" s="174">
        <f t="shared" si="113"/>
        <v>0</v>
      </c>
      <c r="BI114" s="228">
        <v>410</v>
      </c>
      <c r="BJ114" s="4"/>
      <c r="BK114" s="173">
        <f t="shared" si="114"/>
        <v>0</v>
      </c>
      <c r="BL114" s="4"/>
      <c r="BM114" s="173">
        <f t="shared" si="115"/>
        <v>0</v>
      </c>
      <c r="BN114" s="4"/>
      <c r="BO114" s="173">
        <f t="shared" si="116"/>
        <v>0</v>
      </c>
      <c r="BP114" s="4"/>
      <c r="BQ114" s="4">
        <f t="shared" si="117"/>
        <v>0</v>
      </c>
      <c r="BR114" s="4"/>
      <c r="BS114" s="174">
        <f t="shared" si="118"/>
        <v>0</v>
      </c>
      <c r="BW114" s="228">
        <v>410</v>
      </c>
      <c r="BX114" s="4"/>
      <c r="BY114" s="173">
        <f t="shared" si="119"/>
        <v>0</v>
      </c>
      <c r="BZ114" s="4"/>
      <c r="CA114" s="173">
        <f t="shared" si="120"/>
        <v>0</v>
      </c>
      <c r="CB114" s="4"/>
      <c r="CC114" s="173">
        <f t="shared" si="127"/>
        <v>0</v>
      </c>
      <c r="CD114" s="4"/>
      <c r="CE114" s="4">
        <f t="shared" si="121"/>
        <v>0</v>
      </c>
      <c r="CF114" s="4"/>
      <c r="CG114" s="174">
        <f t="shared" si="122"/>
        <v>0</v>
      </c>
      <c r="CY114" s="228">
        <v>410</v>
      </c>
      <c r="CZ114" s="4"/>
      <c r="DA114" s="173">
        <f t="shared" si="123"/>
        <v>0</v>
      </c>
      <c r="DB114" s="4"/>
      <c r="DC114" s="173">
        <f t="shared" si="124"/>
        <v>0</v>
      </c>
      <c r="DD114" s="4"/>
      <c r="DE114" s="173">
        <f t="shared" si="128"/>
        <v>0</v>
      </c>
      <c r="DF114" s="4"/>
      <c r="DG114" s="4">
        <f t="shared" si="125"/>
        <v>0</v>
      </c>
      <c r="DH114" s="4"/>
      <c r="DI114" s="174">
        <f t="shared" si="126"/>
        <v>0</v>
      </c>
    </row>
    <row r="115" spans="1:115" x14ac:dyDescent="0.35">
      <c r="A115" s="350" t="s">
        <v>750</v>
      </c>
      <c r="B115" s="351"/>
      <c r="C115" s="30"/>
      <c r="D115" s="47"/>
      <c r="E115" s="4"/>
      <c r="F115" s="4"/>
      <c r="G115" s="4"/>
      <c r="H115" s="4"/>
      <c r="I115" s="4"/>
      <c r="J115" s="4"/>
      <c r="K115" s="2"/>
      <c r="L115" s="4"/>
      <c r="M115" s="4"/>
      <c r="N115" s="4"/>
      <c r="O115" s="4"/>
      <c r="P115" s="4"/>
      <c r="Q115" s="4"/>
      <c r="S115" s="228">
        <v>420</v>
      </c>
      <c r="T115" s="4"/>
      <c r="U115" s="4">
        <f t="shared" si="99"/>
        <v>0</v>
      </c>
      <c r="V115" s="4"/>
      <c r="W115" s="173">
        <f t="shared" si="100"/>
        <v>0</v>
      </c>
      <c r="X115" s="4"/>
      <c r="Y115" s="173">
        <f t="shared" si="101"/>
        <v>0</v>
      </c>
      <c r="Z115" s="4"/>
      <c r="AA115" s="173">
        <f t="shared" si="102"/>
        <v>0</v>
      </c>
      <c r="AB115" s="4"/>
      <c r="AC115" s="174">
        <f t="shared" si="103"/>
        <v>0</v>
      </c>
      <c r="AG115" s="228">
        <v>420</v>
      </c>
      <c r="AH115" s="4"/>
      <c r="AI115" s="4">
        <f t="shared" si="104"/>
        <v>0</v>
      </c>
      <c r="AJ115" s="4"/>
      <c r="AK115" s="173">
        <f t="shared" si="105"/>
        <v>0</v>
      </c>
      <c r="AL115" s="4"/>
      <c r="AM115" s="173">
        <f t="shared" si="106"/>
        <v>0</v>
      </c>
      <c r="AN115" s="4"/>
      <c r="AO115" s="173">
        <f t="shared" si="107"/>
        <v>0</v>
      </c>
      <c r="AP115" s="4"/>
      <c r="AQ115" s="174">
        <f t="shared" si="108"/>
        <v>0</v>
      </c>
      <c r="AU115" s="228">
        <v>420</v>
      </c>
      <c r="AV115" s="4"/>
      <c r="AW115" s="4">
        <f t="shared" si="109"/>
        <v>0</v>
      </c>
      <c r="AX115" s="4"/>
      <c r="AY115" s="173">
        <f t="shared" si="110"/>
        <v>0</v>
      </c>
      <c r="AZ115" s="4"/>
      <c r="BA115" s="173">
        <f t="shared" si="111"/>
        <v>0</v>
      </c>
      <c r="BB115" s="4"/>
      <c r="BC115" s="173">
        <f t="shared" si="112"/>
        <v>0</v>
      </c>
      <c r="BD115" s="4"/>
      <c r="BE115" s="174">
        <f t="shared" si="113"/>
        <v>0</v>
      </c>
      <c r="BI115" s="228">
        <v>420</v>
      </c>
      <c r="BJ115" s="4"/>
      <c r="BK115" s="4">
        <f t="shared" si="114"/>
        <v>0</v>
      </c>
      <c r="BL115" s="4"/>
      <c r="BM115" s="173">
        <f t="shared" si="115"/>
        <v>0</v>
      </c>
      <c r="BN115" s="4"/>
      <c r="BO115" s="173">
        <f t="shared" si="116"/>
        <v>0</v>
      </c>
      <c r="BP115" s="4"/>
      <c r="BQ115" s="173">
        <f t="shared" si="117"/>
        <v>0</v>
      </c>
      <c r="BR115" s="4"/>
      <c r="BS115" s="174">
        <f t="shared" si="118"/>
        <v>0</v>
      </c>
      <c r="BW115" s="228">
        <v>420</v>
      </c>
      <c r="BX115" s="4"/>
      <c r="BY115" s="4">
        <f t="shared" si="119"/>
        <v>0</v>
      </c>
      <c r="BZ115" s="4"/>
      <c r="CA115" s="173">
        <f t="shared" si="120"/>
        <v>0</v>
      </c>
      <c r="CB115" s="4"/>
      <c r="CC115" s="173">
        <f t="shared" si="127"/>
        <v>0</v>
      </c>
      <c r="CD115" s="4"/>
      <c r="CE115" s="173">
        <f t="shared" si="121"/>
        <v>0</v>
      </c>
      <c r="CF115" s="4"/>
      <c r="CG115" s="174">
        <f t="shared" si="122"/>
        <v>0</v>
      </c>
      <c r="CY115" s="228">
        <v>420</v>
      </c>
      <c r="CZ115" s="4"/>
      <c r="DA115" s="4">
        <f t="shared" si="123"/>
        <v>0</v>
      </c>
      <c r="DB115" s="4"/>
      <c r="DC115" s="173">
        <f t="shared" si="124"/>
        <v>0</v>
      </c>
      <c r="DD115" s="4"/>
      <c r="DE115" s="173">
        <f t="shared" si="128"/>
        <v>0</v>
      </c>
      <c r="DF115" s="4"/>
      <c r="DG115" s="173">
        <f t="shared" si="125"/>
        <v>0</v>
      </c>
      <c r="DH115" s="4"/>
      <c r="DI115" s="174">
        <f t="shared" si="126"/>
        <v>0</v>
      </c>
    </row>
    <row r="116" spans="1:115" x14ac:dyDescent="0.35">
      <c r="A116" s="28">
        <v>1</v>
      </c>
      <c r="B116" s="29" t="s">
        <v>752</v>
      </c>
      <c r="C116" s="30"/>
      <c r="D116" s="47"/>
      <c r="E116" s="4"/>
      <c r="F116" s="4"/>
      <c r="G116" s="4"/>
      <c r="H116" s="4"/>
      <c r="I116" s="4"/>
      <c r="J116" s="4"/>
      <c r="K116" s="2"/>
      <c r="L116" s="4"/>
      <c r="M116" s="4"/>
      <c r="N116" s="4"/>
      <c r="O116" s="4"/>
      <c r="P116" s="4"/>
      <c r="Q116" s="4"/>
      <c r="S116" s="228">
        <v>430</v>
      </c>
      <c r="T116" s="4"/>
      <c r="U116" s="4">
        <f t="shared" si="99"/>
        <v>0</v>
      </c>
      <c r="V116" s="4"/>
      <c r="W116" s="173">
        <f t="shared" si="100"/>
        <v>0</v>
      </c>
      <c r="X116" s="4"/>
      <c r="Y116" s="173">
        <f t="shared" si="101"/>
        <v>0</v>
      </c>
      <c r="Z116" s="4"/>
      <c r="AA116" s="173">
        <f t="shared" si="102"/>
        <v>0</v>
      </c>
      <c r="AB116" s="4"/>
      <c r="AC116" s="174">
        <f t="shared" si="103"/>
        <v>0</v>
      </c>
      <c r="AG116" s="228">
        <v>430</v>
      </c>
      <c r="AH116" s="4"/>
      <c r="AI116" s="4">
        <f t="shared" si="104"/>
        <v>0</v>
      </c>
      <c r="AJ116" s="4"/>
      <c r="AK116" s="173">
        <f t="shared" si="105"/>
        <v>0</v>
      </c>
      <c r="AL116" s="4"/>
      <c r="AM116" s="173">
        <f t="shared" si="106"/>
        <v>0</v>
      </c>
      <c r="AN116" s="4"/>
      <c r="AO116" s="173">
        <f t="shared" si="107"/>
        <v>0</v>
      </c>
      <c r="AP116" s="4"/>
      <c r="AQ116" s="174">
        <f t="shared" si="108"/>
        <v>0</v>
      </c>
      <c r="AU116" s="228">
        <v>430</v>
      </c>
      <c r="AV116" s="4"/>
      <c r="AW116" s="4">
        <f t="shared" si="109"/>
        <v>0</v>
      </c>
      <c r="AX116" s="4"/>
      <c r="AY116" s="173">
        <f t="shared" si="110"/>
        <v>0</v>
      </c>
      <c r="AZ116" s="4"/>
      <c r="BA116" s="173">
        <f t="shared" si="111"/>
        <v>0</v>
      </c>
      <c r="BB116" s="4"/>
      <c r="BC116" s="173">
        <f t="shared" si="112"/>
        <v>0</v>
      </c>
      <c r="BD116" s="4"/>
      <c r="BE116" s="174">
        <f t="shared" si="113"/>
        <v>0</v>
      </c>
      <c r="BI116" s="228">
        <v>430</v>
      </c>
      <c r="BJ116" s="4"/>
      <c r="BK116" s="4">
        <f t="shared" si="114"/>
        <v>0</v>
      </c>
      <c r="BL116" s="4"/>
      <c r="BM116" s="173">
        <f t="shared" si="115"/>
        <v>0</v>
      </c>
      <c r="BN116" s="4"/>
      <c r="BO116" s="173">
        <f t="shared" si="116"/>
        <v>0</v>
      </c>
      <c r="BP116" s="4"/>
      <c r="BQ116" s="173">
        <f t="shared" si="117"/>
        <v>0</v>
      </c>
      <c r="BR116" s="4"/>
      <c r="BS116" s="174">
        <f t="shared" si="118"/>
        <v>0</v>
      </c>
      <c r="BW116" s="228">
        <v>430</v>
      </c>
      <c r="BX116" s="4"/>
      <c r="BY116" s="4">
        <f t="shared" si="119"/>
        <v>0</v>
      </c>
      <c r="BZ116" s="4"/>
      <c r="CA116" s="173">
        <f t="shared" si="120"/>
        <v>0</v>
      </c>
      <c r="CB116" s="4"/>
      <c r="CC116" s="173">
        <f t="shared" si="127"/>
        <v>0</v>
      </c>
      <c r="CD116" s="4"/>
      <c r="CE116" s="173">
        <f t="shared" si="121"/>
        <v>0</v>
      </c>
      <c r="CF116" s="4"/>
      <c r="CG116" s="174">
        <f t="shared" si="122"/>
        <v>0</v>
      </c>
      <c r="CY116" s="228">
        <v>430</v>
      </c>
      <c r="CZ116" s="4"/>
      <c r="DA116" s="4">
        <f t="shared" si="123"/>
        <v>0</v>
      </c>
      <c r="DB116" s="4"/>
      <c r="DC116" s="173">
        <f t="shared" si="124"/>
        <v>0</v>
      </c>
      <c r="DD116" s="4"/>
      <c r="DE116" s="173">
        <f t="shared" si="128"/>
        <v>0</v>
      </c>
      <c r="DF116" s="4"/>
      <c r="DG116" s="173">
        <f t="shared" si="125"/>
        <v>0</v>
      </c>
      <c r="DH116" s="4"/>
      <c r="DI116" s="174">
        <f t="shared" si="126"/>
        <v>0</v>
      </c>
    </row>
    <row r="117" spans="1:115" x14ac:dyDescent="0.35">
      <c r="A117" s="28">
        <v>2</v>
      </c>
      <c r="B117" s="29" t="s">
        <v>751</v>
      </c>
      <c r="C117" s="30"/>
      <c r="D117" s="47"/>
      <c r="E117" s="4"/>
      <c r="F117" s="4"/>
      <c r="G117" s="4"/>
      <c r="H117" s="4"/>
      <c r="I117" s="4"/>
      <c r="J117" s="4"/>
      <c r="K117" s="2"/>
      <c r="L117" s="4"/>
      <c r="M117" s="4"/>
      <c r="N117" s="4"/>
      <c r="O117" s="4"/>
      <c r="P117" s="4"/>
      <c r="Q117" s="4"/>
      <c r="S117" s="228">
        <v>440</v>
      </c>
      <c r="T117" s="4"/>
      <c r="U117" s="4">
        <f t="shared" si="99"/>
        <v>0</v>
      </c>
      <c r="V117" s="4"/>
      <c r="W117" s="173">
        <f t="shared" si="100"/>
        <v>0</v>
      </c>
      <c r="X117" s="4"/>
      <c r="Y117" s="173">
        <f t="shared" si="101"/>
        <v>0</v>
      </c>
      <c r="Z117" s="4"/>
      <c r="AA117" s="173">
        <f t="shared" si="102"/>
        <v>0</v>
      </c>
      <c r="AB117" s="4"/>
      <c r="AC117" s="174">
        <f t="shared" si="103"/>
        <v>0</v>
      </c>
      <c r="AG117" s="228">
        <v>440</v>
      </c>
      <c r="AH117" s="4"/>
      <c r="AI117" s="4">
        <f t="shared" si="104"/>
        <v>0</v>
      </c>
      <c r="AJ117" s="4"/>
      <c r="AK117" s="173">
        <f t="shared" si="105"/>
        <v>0</v>
      </c>
      <c r="AL117" s="4"/>
      <c r="AM117" s="173">
        <f t="shared" si="106"/>
        <v>0</v>
      </c>
      <c r="AN117" s="4"/>
      <c r="AO117" s="173">
        <f t="shared" si="107"/>
        <v>0</v>
      </c>
      <c r="AP117" s="4"/>
      <c r="AQ117" s="174">
        <f t="shared" si="108"/>
        <v>0</v>
      </c>
      <c r="AU117" s="228">
        <v>440</v>
      </c>
      <c r="AV117" s="4"/>
      <c r="AW117" s="4">
        <f t="shared" si="109"/>
        <v>0</v>
      </c>
      <c r="AX117" s="4"/>
      <c r="AY117" s="173">
        <f t="shared" si="110"/>
        <v>0</v>
      </c>
      <c r="AZ117" s="4"/>
      <c r="BA117" s="173">
        <f t="shared" si="111"/>
        <v>0</v>
      </c>
      <c r="BB117" s="4"/>
      <c r="BC117" s="173">
        <f t="shared" si="112"/>
        <v>0</v>
      </c>
      <c r="BD117" s="4"/>
      <c r="BE117" s="174">
        <f t="shared" si="113"/>
        <v>0</v>
      </c>
      <c r="BI117" s="228">
        <v>440</v>
      </c>
      <c r="BJ117" s="4"/>
      <c r="BK117" s="4">
        <f t="shared" si="114"/>
        <v>0</v>
      </c>
      <c r="BL117" s="4"/>
      <c r="BM117" s="173">
        <f t="shared" si="115"/>
        <v>0</v>
      </c>
      <c r="BN117" s="4"/>
      <c r="BO117" s="173">
        <f t="shared" si="116"/>
        <v>0</v>
      </c>
      <c r="BP117" s="4"/>
      <c r="BQ117" s="173">
        <f t="shared" si="117"/>
        <v>0</v>
      </c>
      <c r="BR117" s="4"/>
      <c r="BS117" s="174">
        <f t="shared" si="118"/>
        <v>0</v>
      </c>
      <c r="BW117" s="228">
        <v>440</v>
      </c>
      <c r="BX117" s="4"/>
      <c r="BY117" s="4">
        <f t="shared" si="119"/>
        <v>0</v>
      </c>
      <c r="BZ117" s="4"/>
      <c r="CA117" s="173">
        <f t="shared" si="120"/>
        <v>0</v>
      </c>
      <c r="CB117" s="4"/>
      <c r="CC117" s="173">
        <f t="shared" si="127"/>
        <v>0</v>
      </c>
      <c r="CD117" s="4"/>
      <c r="CE117" s="173">
        <f t="shared" si="121"/>
        <v>0</v>
      </c>
      <c r="CF117" s="4"/>
      <c r="CG117" s="174">
        <f t="shared" si="122"/>
        <v>0</v>
      </c>
      <c r="CY117" s="228">
        <v>440</v>
      </c>
      <c r="CZ117" s="4"/>
      <c r="DA117" s="4">
        <f t="shared" si="123"/>
        <v>0</v>
      </c>
      <c r="DB117" s="4"/>
      <c r="DC117" s="173">
        <f t="shared" si="124"/>
        <v>0</v>
      </c>
      <c r="DD117" s="4"/>
      <c r="DE117" s="173">
        <f t="shared" si="128"/>
        <v>0</v>
      </c>
      <c r="DF117" s="4"/>
      <c r="DG117" s="173">
        <f t="shared" si="125"/>
        <v>0</v>
      </c>
      <c r="DH117" s="4"/>
      <c r="DI117" s="174">
        <f t="shared" si="126"/>
        <v>0</v>
      </c>
    </row>
    <row r="118" spans="1:115" x14ac:dyDescent="0.35">
      <c r="A118" s="28">
        <v>3</v>
      </c>
      <c r="B118" s="29" t="s">
        <v>753</v>
      </c>
      <c r="C118" s="30"/>
      <c r="D118" s="47"/>
      <c r="E118" s="4"/>
      <c r="F118" s="4"/>
      <c r="G118" s="4"/>
      <c r="H118" s="4"/>
      <c r="I118" s="4"/>
      <c r="J118" s="4"/>
      <c r="K118" s="2"/>
      <c r="L118" s="4"/>
      <c r="M118" s="4"/>
      <c r="N118" s="4"/>
      <c r="O118" s="4"/>
      <c r="P118" s="4"/>
      <c r="Q118" s="4"/>
      <c r="S118" s="228">
        <v>450</v>
      </c>
      <c r="T118" s="4"/>
      <c r="U118" s="4">
        <f t="shared" si="99"/>
        <v>0</v>
      </c>
      <c r="V118" s="4"/>
      <c r="W118" s="173">
        <f t="shared" si="100"/>
        <v>0</v>
      </c>
      <c r="X118" s="4"/>
      <c r="Y118" s="173">
        <f t="shared" si="101"/>
        <v>0</v>
      </c>
      <c r="Z118" s="4"/>
      <c r="AA118" s="173">
        <f t="shared" si="102"/>
        <v>0</v>
      </c>
      <c r="AB118" s="4"/>
      <c r="AC118" s="174">
        <f t="shared" si="103"/>
        <v>0</v>
      </c>
      <c r="AG118" s="228">
        <v>450</v>
      </c>
      <c r="AH118" s="4"/>
      <c r="AI118" s="4">
        <f t="shared" si="104"/>
        <v>0</v>
      </c>
      <c r="AJ118" s="4"/>
      <c r="AK118" s="173">
        <f t="shared" si="105"/>
        <v>0</v>
      </c>
      <c r="AL118" s="4"/>
      <c r="AM118" s="173">
        <f t="shared" si="106"/>
        <v>0</v>
      </c>
      <c r="AN118" s="4"/>
      <c r="AO118" s="173">
        <f t="shared" si="107"/>
        <v>0</v>
      </c>
      <c r="AP118" s="4"/>
      <c r="AQ118" s="174">
        <f t="shared" si="108"/>
        <v>0</v>
      </c>
      <c r="AU118" s="228">
        <v>450</v>
      </c>
      <c r="AV118" s="4"/>
      <c r="AW118" s="4">
        <f t="shared" si="109"/>
        <v>0</v>
      </c>
      <c r="AX118" s="4"/>
      <c r="AY118" s="173">
        <f t="shared" si="110"/>
        <v>0</v>
      </c>
      <c r="AZ118" s="4"/>
      <c r="BA118" s="173">
        <f t="shared" si="111"/>
        <v>0</v>
      </c>
      <c r="BB118" s="4"/>
      <c r="BC118" s="173">
        <f t="shared" si="112"/>
        <v>0</v>
      </c>
      <c r="BD118" s="4"/>
      <c r="BE118" s="174">
        <f t="shared" si="113"/>
        <v>0</v>
      </c>
      <c r="BI118" s="228">
        <v>450</v>
      </c>
      <c r="BJ118" s="4"/>
      <c r="BK118" s="4">
        <f t="shared" si="114"/>
        <v>0</v>
      </c>
      <c r="BL118" s="4"/>
      <c r="BM118" s="173">
        <f t="shared" si="115"/>
        <v>0</v>
      </c>
      <c r="BN118" s="4"/>
      <c r="BO118" s="173">
        <f t="shared" si="116"/>
        <v>0</v>
      </c>
      <c r="BP118" s="4"/>
      <c r="BQ118" s="173">
        <f t="shared" si="117"/>
        <v>0</v>
      </c>
      <c r="BR118" s="4"/>
      <c r="BS118" s="174">
        <f t="shared" si="118"/>
        <v>0</v>
      </c>
      <c r="BW118" s="228">
        <v>450</v>
      </c>
      <c r="BX118" s="4"/>
      <c r="BY118" s="4">
        <f t="shared" si="119"/>
        <v>0</v>
      </c>
      <c r="BZ118" s="4"/>
      <c r="CA118" s="173">
        <f t="shared" si="120"/>
        <v>0</v>
      </c>
      <c r="CB118" s="4"/>
      <c r="CC118" s="173">
        <f t="shared" si="127"/>
        <v>0</v>
      </c>
      <c r="CD118" s="4"/>
      <c r="CE118" s="173">
        <f t="shared" si="121"/>
        <v>0</v>
      </c>
      <c r="CF118" s="4"/>
      <c r="CG118" s="174">
        <f t="shared" si="122"/>
        <v>0</v>
      </c>
      <c r="CY118" s="228">
        <v>450</v>
      </c>
      <c r="CZ118" s="4"/>
      <c r="DA118" s="4">
        <f t="shared" si="123"/>
        <v>0</v>
      </c>
      <c r="DB118" s="4"/>
      <c r="DC118" s="173">
        <f t="shared" si="124"/>
        <v>0</v>
      </c>
      <c r="DD118" s="4"/>
      <c r="DE118" s="173">
        <f t="shared" si="128"/>
        <v>0</v>
      </c>
      <c r="DF118" s="4"/>
      <c r="DG118" s="173">
        <f t="shared" si="125"/>
        <v>0</v>
      </c>
      <c r="DH118" s="4"/>
      <c r="DI118" s="174">
        <f t="shared" si="126"/>
        <v>0</v>
      </c>
    </row>
    <row r="119" spans="1:115" x14ac:dyDescent="0.35">
      <c r="A119" s="28">
        <v>4</v>
      </c>
      <c r="B119" s="29" t="s">
        <v>754</v>
      </c>
      <c r="C119" s="30"/>
      <c r="D119" s="47"/>
      <c r="E119" s="4"/>
      <c r="F119" s="4"/>
      <c r="G119" s="4"/>
      <c r="H119" s="4"/>
      <c r="I119" s="4"/>
      <c r="J119" s="4"/>
      <c r="K119" s="2"/>
      <c r="L119" s="4"/>
      <c r="M119" s="4"/>
      <c r="N119" s="4"/>
      <c r="O119" s="4"/>
      <c r="P119" s="4"/>
      <c r="Q119" s="4"/>
      <c r="S119" s="228">
        <v>460</v>
      </c>
      <c r="T119" s="4"/>
      <c r="U119" s="4">
        <f t="shared" si="99"/>
        <v>0</v>
      </c>
      <c r="V119" s="4"/>
      <c r="W119" s="4">
        <f t="shared" si="100"/>
        <v>0</v>
      </c>
      <c r="X119" s="4"/>
      <c r="Y119" s="173">
        <f t="shared" si="101"/>
        <v>0</v>
      </c>
      <c r="Z119" s="4"/>
      <c r="AA119" s="4">
        <f t="shared" si="102"/>
        <v>0</v>
      </c>
      <c r="AB119" s="4"/>
      <c r="AC119" s="174">
        <f t="shared" si="103"/>
        <v>0</v>
      </c>
      <c r="AG119" s="228">
        <v>460</v>
      </c>
      <c r="AH119" s="4"/>
      <c r="AI119" s="4">
        <f t="shared" si="104"/>
        <v>0</v>
      </c>
      <c r="AJ119" s="4"/>
      <c r="AK119" s="4">
        <f t="shared" si="105"/>
        <v>0</v>
      </c>
      <c r="AL119" s="4"/>
      <c r="AM119" s="173">
        <f t="shared" si="106"/>
        <v>0</v>
      </c>
      <c r="AN119" s="4"/>
      <c r="AO119" s="4">
        <f t="shared" si="107"/>
        <v>0</v>
      </c>
      <c r="AP119" s="4"/>
      <c r="AQ119" s="174">
        <f t="shared" si="108"/>
        <v>0</v>
      </c>
      <c r="AU119" s="228">
        <v>460</v>
      </c>
      <c r="AV119" s="4"/>
      <c r="AW119" s="4">
        <f t="shared" si="109"/>
        <v>0</v>
      </c>
      <c r="AX119" s="4"/>
      <c r="AY119" s="4">
        <f t="shared" si="110"/>
        <v>0</v>
      </c>
      <c r="AZ119" s="4"/>
      <c r="BA119" s="173">
        <f t="shared" si="111"/>
        <v>0</v>
      </c>
      <c r="BB119" s="4"/>
      <c r="BC119" s="4">
        <f t="shared" si="112"/>
        <v>0</v>
      </c>
      <c r="BD119" s="4"/>
      <c r="BE119" s="174">
        <f t="shared" si="113"/>
        <v>0</v>
      </c>
      <c r="BI119" s="228">
        <v>460</v>
      </c>
      <c r="BJ119" s="4"/>
      <c r="BK119" s="4">
        <f t="shared" si="114"/>
        <v>0</v>
      </c>
      <c r="BL119" s="4"/>
      <c r="BM119" s="4">
        <f t="shared" si="115"/>
        <v>0</v>
      </c>
      <c r="BN119" s="4"/>
      <c r="BO119" s="173">
        <f t="shared" si="116"/>
        <v>0</v>
      </c>
      <c r="BP119" s="4"/>
      <c r="BQ119" s="4">
        <f t="shared" si="117"/>
        <v>0</v>
      </c>
      <c r="BR119" s="4"/>
      <c r="BS119" s="174">
        <f t="shared" si="118"/>
        <v>0</v>
      </c>
      <c r="BW119" s="228">
        <v>460</v>
      </c>
      <c r="BX119" s="4"/>
      <c r="BY119" s="4">
        <f t="shared" si="119"/>
        <v>0</v>
      </c>
      <c r="BZ119" s="4"/>
      <c r="CA119" s="4">
        <f t="shared" si="120"/>
        <v>0</v>
      </c>
      <c r="CB119" s="8"/>
      <c r="CC119" s="173">
        <f t="shared" si="127"/>
        <v>0</v>
      </c>
      <c r="CD119" s="4"/>
      <c r="CE119" s="4">
        <f t="shared" si="121"/>
        <v>0</v>
      </c>
      <c r="CF119" s="4"/>
      <c r="CG119" s="174">
        <f t="shared" si="122"/>
        <v>0</v>
      </c>
      <c r="CY119" s="228">
        <v>460</v>
      </c>
      <c r="CZ119" s="4"/>
      <c r="DA119" s="4">
        <f t="shared" si="123"/>
        <v>0</v>
      </c>
      <c r="DB119" s="4"/>
      <c r="DC119" s="4">
        <f t="shared" si="124"/>
        <v>0</v>
      </c>
      <c r="DD119" s="8"/>
      <c r="DE119" s="173">
        <f t="shared" si="128"/>
        <v>0</v>
      </c>
      <c r="DF119" s="4"/>
      <c r="DG119" s="4">
        <f t="shared" si="125"/>
        <v>0</v>
      </c>
      <c r="DH119" s="4"/>
      <c r="DI119" s="174">
        <f t="shared" si="126"/>
        <v>0</v>
      </c>
    </row>
    <row r="120" spans="1:115" x14ac:dyDescent="0.35">
      <c r="A120" s="28">
        <v>5</v>
      </c>
      <c r="B120" s="29" t="s">
        <v>755</v>
      </c>
      <c r="C120" s="30"/>
      <c r="D120" s="47"/>
      <c r="E120" s="4"/>
      <c r="F120" s="4"/>
      <c r="G120" s="4"/>
      <c r="H120" s="4"/>
      <c r="I120" s="4"/>
      <c r="J120" s="4"/>
      <c r="K120" s="2"/>
      <c r="L120" s="4"/>
      <c r="M120" s="4"/>
      <c r="N120" s="4"/>
      <c r="O120" s="4"/>
      <c r="P120" s="4"/>
      <c r="Q120" s="4"/>
      <c r="S120" s="228">
        <v>470</v>
      </c>
      <c r="T120" s="4">
        <v>196.17</v>
      </c>
      <c r="U120" s="4">
        <f t="shared" si="99"/>
        <v>196.17</v>
      </c>
      <c r="V120" s="4">
        <v>181.15</v>
      </c>
      <c r="W120" s="4">
        <f t="shared" si="100"/>
        <v>181.15</v>
      </c>
      <c r="X120" s="8">
        <v>166.12</v>
      </c>
      <c r="Y120" s="4">
        <f>X120-X119</f>
        <v>166.12</v>
      </c>
      <c r="Z120" s="4">
        <v>151.07</v>
      </c>
      <c r="AA120" s="4">
        <f t="shared" si="102"/>
        <v>151.07</v>
      </c>
      <c r="AB120" s="4">
        <v>136</v>
      </c>
      <c r="AC120" s="2">
        <f t="shared" si="103"/>
        <v>136</v>
      </c>
      <c r="AG120" s="228">
        <v>470</v>
      </c>
      <c r="AH120" s="4">
        <v>95.05</v>
      </c>
      <c r="AI120" s="4">
        <f t="shared" si="104"/>
        <v>95.05</v>
      </c>
      <c r="AJ120" s="4">
        <v>79.97</v>
      </c>
      <c r="AK120" s="4">
        <f t="shared" si="105"/>
        <v>79.97</v>
      </c>
      <c r="AL120" s="8">
        <v>64.86</v>
      </c>
      <c r="AM120" s="4">
        <f t="shared" si="106"/>
        <v>64.86</v>
      </c>
      <c r="AN120" s="4">
        <v>49.74</v>
      </c>
      <c r="AO120" s="4">
        <f t="shared" si="107"/>
        <v>49.74</v>
      </c>
      <c r="AP120" s="4">
        <v>34.6</v>
      </c>
      <c r="AQ120" s="2">
        <f t="shared" si="108"/>
        <v>34.6</v>
      </c>
      <c r="AU120" s="228">
        <v>470</v>
      </c>
      <c r="AV120" s="4">
        <v>198.87</v>
      </c>
      <c r="AW120" s="4">
        <f t="shared" si="109"/>
        <v>198.87</v>
      </c>
      <c r="AX120" s="4">
        <v>183.91</v>
      </c>
      <c r="AY120" s="4">
        <f t="shared" si="110"/>
        <v>183.91</v>
      </c>
      <c r="AZ120" s="8">
        <v>168.92</v>
      </c>
      <c r="BA120" s="4">
        <f t="shared" si="111"/>
        <v>168.92</v>
      </c>
      <c r="BB120" s="4">
        <v>153.9</v>
      </c>
      <c r="BC120" s="4">
        <f t="shared" si="112"/>
        <v>153.9</v>
      </c>
      <c r="BD120" s="4">
        <v>138.86000000000001</v>
      </c>
      <c r="BE120" s="2">
        <f t="shared" si="113"/>
        <v>138.86000000000001</v>
      </c>
      <c r="BI120" s="228">
        <v>470</v>
      </c>
      <c r="BJ120" s="4">
        <v>97.41</v>
      </c>
      <c r="BK120" s="4">
        <f t="shared" si="114"/>
        <v>97.41</v>
      </c>
      <c r="BL120" s="4">
        <v>82.32</v>
      </c>
      <c r="BM120" s="4">
        <f t="shared" si="115"/>
        <v>82.32</v>
      </c>
      <c r="BN120" s="8">
        <v>67.2</v>
      </c>
      <c r="BO120" s="4">
        <f t="shared" si="116"/>
        <v>67.2</v>
      </c>
      <c r="BP120" s="4">
        <v>52.05</v>
      </c>
      <c r="BQ120" s="4">
        <f t="shared" si="117"/>
        <v>52.05</v>
      </c>
      <c r="BR120" s="4">
        <v>36.880000000000003</v>
      </c>
      <c r="BS120" s="2">
        <f t="shared" si="118"/>
        <v>36.880000000000003</v>
      </c>
      <c r="BW120" s="228">
        <v>470</v>
      </c>
      <c r="BX120" s="4">
        <v>194.37</v>
      </c>
      <c r="BY120" s="4">
        <f t="shared" si="119"/>
        <v>194.37</v>
      </c>
      <c r="BZ120" s="4">
        <v>179.37</v>
      </c>
      <c r="CA120" s="4">
        <f t="shared" si="120"/>
        <v>179.37</v>
      </c>
      <c r="CB120" s="8">
        <v>164.37</v>
      </c>
      <c r="CC120" s="4">
        <f t="shared" si="127"/>
        <v>164.37</v>
      </c>
      <c r="CD120" s="4">
        <v>149.34</v>
      </c>
      <c r="CE120" s="4">
        <f t="shared" si="121"/>
        <v>149.34</v>
      </c>
      <c r="CF120" s="4">
        <v>134.30000000000001</v>
      </c>
      <c r="CG120" s="2">
        <f t="shared" si="122"/>
        <v>134.30000000000001</v>
      </c>
      <c r="CY120" s="228">
        <v>470</v>
      </c>
      <c r="CZ120" s="4">
        <v>93.93</v>
      </c>
      <c r="DA120" s="4">
        <f t="shared" si="123"/>
        <v>93.93</v>
      </c>
      <c r="DB120" s="4">
        <v>78.86</v>
      </c>
      <c r="DC120" s="4">
        <f t="shared" si="124"/>
        <v>78.86</v>
      </c>
      <c r="DD120" s="8">
        <v>63.76</v>
      </c>
      <c r="DE120" s="4">
        <f t="shared" si="128"/>
        <v>63.76</v>
      </c>
      <c r="DF120" s="4">
        <v>48.65</v>
      </c>
      <c r="DG120" s="4">
        <f t="shared" si="125"/>
        <v>48.65</v>
      </c>
      <c r="DH120" s="4">
        <v>33.520000000000003</v>
      </c>
      <c r="DI120" s="2">
        <f t="shared" si="126"/>
        <v>33.520000000000003</v>
      </c>
    </row>
    <row r="121" spans="1:115" x14ac:dyDescent="0.35">
      <c r="A121" s="398" t="s">
        <v>45</v>
      </c>
      <c r="B121" s="399"/>
      <c r="C121" s="40" t="s">
        <v>87</v>
      </c>
      <c r="D121" s="41" t="s">
        <v>86</v>
      </c>
      <c r="E121" s="24" t="s">
        <v>88</v>
      </c>
      <c r="F121" s="24" t="s">
        <v>91</v>
      </c>
      <c r="G121" s="24" t="s">
        <v>92</v>
      </c>
      <c r="H121" s="27" t="s">
        <v>231</v>
      </c>
      <c r="I121" s="83" t="s">
        <v>232</v>
      </c>
      <c r="J121" s="24"/>
      <c r="M121" s="83"/>
      <c r="N121" s="83"/>
      <c r="O121" s="83"/>
      <c r="P121" s="83"/>
      <c r="R121" s="33"/>
      <c r="S121" s="230">
        <v>480</v>
      </c>
      <c r="T121" s="5">
        <v>196.52</v>
      </c>
      <c r="U121" s="5">
        <f t="shared" si="99"/>
        <v>0.35000000000002274</v>
      </c>
      <c r="V121" s="5">
        <v>181.5</v>
      </c>
      <c r="W121" s="5">
        <f t="shared" si="100"/>
        <v>0.34999999999999432</v>
      </c>
      <c r="X121" s="5">
        <v>166.47</v>
      </c>
      <c r="Y121" s="5">
        <f t="shared" ref="Y121" si="129">X121-X120</f>
        <v>0.34999999999999432</v>
      </c>
      <c r="Z121" s="5">
        <v>151.41999999999999</v>
      </c>
      <c r="AA121" s="5">
        <f t="shared" si="102"/>
        <v>0.34999999999999432</v>
      </c>
      <c r="AB121" s="5">
        <v>136.35</v>
      </c>
      <c r="AC121" s="3">
        <f t="shared" si="103"/>
        <v>0.34999999999999432</v>
      </c>
      <c r="AG121" s="230">
        <v>480</v>
      </c>
      <c r="AH121" s="5">
        <v>95.4</v>
      </c>
      <c r="AI121" s="5">
        <f t="shared" si="104"/>
        <v>0.35000000000000853</v>
      </c>
      <c r="AJ121" s="5">
        <v>80.319999999999993</v>
      </c>
      <c r="AK121" s="5">
        <f t="shared" si="105"/>
        <v>0.34999999999999432</v>
      </c>
      <c r="AL121" s="5">
        <v>65.209999999999994</v>
      </c>
      <c r="AM121" s="5">
        <f t="shared" si="106"/>
        <v>0.34999999999999432</v>
      </c>
      <c r="AN121" s="5">
        <v>50.09</v>
      </c>
      <c r="AO121" s="5">
        <f t="shared" si="107"/>
        <v>0.35000000000000142</v>
      </c>
      <c r="AP121" s="5">
        <v>34.96</v>
      </c>
      <c r="AQ121" s="3">
        <f t="shared" si="108"/>
        <v>0.35999999999999943</v>
      </c>
      <c r="AU121" s="230">
        <v>480</v>
      </c>
      <c r="AV121" s="5">
        <v>199.4</v>
      </c>
      <c r="AW121" s="5">
        <f t="shared" si="109"/>
        <v>0.53000000000000114</v>
      </c>
      <c r="AX121" s="5">
        <v>184.43</v>
      </c>
      <c r="AY121" s="5">
        <f t="shared" si="110"/>
        <v>0.52000000000001023</v>
      </c>
      <c r="AZ121" s="5">
        <v>169.44</v>
      </c>
      <c r="BA121" s="5">
        <f t="shared" si="111"/>
        <v>0.52000000000001023</v>
      </c>
      <c r="BB121" s="5">
        <v>154.41999999999999</v>
      </c>
      <c r="BC121" s="5">
        <f t="shared" si="112"/>
        <v>0.51999999999998181</v>
      </c>
      <c r="BD121" s="5">
        <v>139.38</v>
      </c>
      <c r="BE121" s="3">
        <f t="shared" si="113"/>
        <v>0.51999999999998181</v>
      </c>
      <c r="BI121" s="230">
        <v>480</v>
      </c>
      <c r="BJ121" s="5">
        <v>97.94</v>
      </c>
      <c r="BK121" s="5">
        <f t="shared" si="114"/>
        <v>0.53000000000000114</v>
      </c>
      <c r="BL121" s="5">
        <v>82.84</v>
      </c>
      <c r="BM121" s="5">
        <f t="shared" si="115"/>
        <v>0.52000000000001023</v>
      </c>
      <c r="BN121" s="5">
        <v>67.72</v>
      </c>
      <c r="BO121" s="5">
        <f t="shared" si="116"/>
        <v>0.51999999999999602</v>
      </c>
      <c r="BP121" s="5">
        <v>52.58</v>
      </c>
      <c r="BQ121" s="5">
        <f t="shared" si="117"/>
        <v>0.53000000000000114</v>
      </c>
      <c r="BR121" s="5">
        <v>37.409999999999997</v>
      </c>
      <c r="BS121" s="3">
        <f t="shared" si="118"/>
        <v>0.52999999999999403</v>
      </c>
      <c r="BW121" s="230">
        <v>480</v>
      </c>
      <c r="BX121" s="5">
        <v>194.72</v>
      </c>
      <c r="BY121" s="5">
        <f t="shared" si="119"/>
        <v>0.34999999999999432</v>
      </c>
      <c r="BZ121" s="5">
        <v>179.73</v>
      </c>
      <c r="CA121" s="5">
        <f t="shared" si="120"/>
        <v>0.35999999999998522</v>
      </c>
      <c r="CB121" s="5">
        <v>164.72</v>
      </c>
      <c r="CC121" s="5">
        <f t="shared" si="127"/>
        <v>0.34999999999999432</v>
      </c>
      <c r="CD121" s="5">
        <v>149.69</v>
      </c>
      <c r="CE121" s="5">
        <f t="shared" si="121"/>
        <v>0.34999999999999432</v>
      </c>
      <c r="CF121" s="5">
        <v>134.63999999999999</v>
      </c>
      <c r="CG121" s="3">
        <f t="shared" si="122"/>
        <v>0.33999999999997499</v>
      </c>
      <c r="CY121" s="230">
        <v>480</v>
      </c>
      <c r="CZ121" s="5">
        <v>94.28</v>
      </c>
      <c r="DA121" s="5">
        <f t="shared" si="123"/>
        <v>0.34999999999999432</v>
      </c>
      <c r="DB121" s="5">
        <v>79.209999999999994</v>
      </c>
      <c r="DC121" s="5">
        <f t="shared" si="124"/>
        <v>0.34999999999999432</v>
      </c>
      <c r="DD121" s="5">
        <v>64.11</v>
      </c>
      <c r="DE121" s="5">
        <f t="shared" si="128"/>
        <v>0.35000000000000142</v>
      </c>
      <c r="DF121" s="5">
        <v>49.01</v>
      </c>
      <c r="DG121" s="5">
        <f t="shared" si="125"/>
        <v>0.35999999999999943</v>
      </c>
      <c r="DH121" s="5">
        <v>33.880000000000003</v>
      </c>
      <c r="DI121" s="3">
        <f t="shared" si="126"/>
        <v>0.35999999999999943</v>
      </c>
    </row>
    <row r="122" spans="1:115" x14ac:dyDescent="0.35">
      <c r="A122" s="28" t="s">
        <v>46</v>
      </c>
      <c r="B122" s="29" t="s">
        <v>101</v>
      </c>
      <c r="C122" s="30">
        <f>-22</f>
        <v>-22</v>
      </c>
      <c r="D122" s="36">
        <f>0</f>
        <v>0</v>
      </c>
      <c r="E122" s="4">
        <v>22.5</v>
      </c>
      <c r="F122" s="4">
        <v>0</v>
      </c>
      <c r="G122" s="4">
        <v>20</v>
      </c>
      <c r="H122" s="38">
        <v>0</v>
      </c>
      <c r="I122" s="8">
        <v>0.5</v>
      </c>
      <c r="J122" s="4"/>
      <c r="M122" s="8"/>
      <c r="N122" s="8"/>
      <c r="O122" s="8"/>
      <c r="P122" s="8"/>
      <c r="R122" s="18"/>
      <c r="S122" s="83" t="s">
        <v>781</v>
      </c>
      <c r="U122" s="227">
        <f>(T121-T102)/19</f>
        <v>0.35526315789473684</v>
      </c>
      <c r="V122" s="22"/>
      <c r="W122" s="227">
        <f>(V121-V102)/19</f>
        <v>0.3526315789473678</v>
      </c>
      <c r="X122" s="22"/>
      <c r="Y122" s="227">
        <f>(X121-X102)/19</f>
        <v>0.35105263157894673</v>
      </c>
      <c r="Z122" s="22"/>
      <c r="AA122" s="227">
        <f>(Z121-Z102)/19</f>
        <v>0.34999999999999881</v>
      </c>
      <c r="AB122" s="22"/>
      <c r="AC122" s="231">
        <f>(AB121-AB102)/19</f>
        <v>0.3489473684210524</v>
      </c>
      <c r="AD122" s="232">
        <f>(AC122+AA122+Y122+W122+U122)/5</f>
        <v>0.35157894736842055</v>
      </c>
      <c r="AE122" t="s">
        <v>440</v>
      </c>
      <c r="AG122" s="83" t="s">
        <v>781</v>
      </c>
      <c r="AI122" s="227">
        <f>(AH121-AH102)/19</f>
        <v>0.35000000000000031</v>
      </c>
      <c r="AJ122" s="22"/>
      <c r="AK122" s="227">
        <f>(AJ121-AJ102)/19</f>
        <v>0.35210526315789464</v>
      </c>
      <c r="AL122" s="22"/>
      <c r="AM122" s="227">
        <f>(AL121-AL102)/19</f>
        <v>0.35368421052631538</v>
      </c>
      <c r="AN122" s="22"/>
      <c r="AO122" s="227">
        <f>(AN121-AN102)/19</f>
        <v>0.35631578947368436</v>
      </c>
      <c r="AP122" s="22"/>
      <c r="AQ122" s="231">
        <f>(AP121-AP102)/19</f>
        <v>0.36</v>
      </c>
      <c r="AR122" s="232">
        <f>(AQ122+AO122+AM122+AK122+AI122)/5</f>
        <v>0.35442105263157897</v>
      </c>
      <c r="AS122" t="s">
        <v>440</v>
      </c>
      <c r="AU122" s="83" t="s">
        <v>781</v>
      </c>
      <c r="AW122" s="227">
        <f>(AV121-AV102)/19</f>
        <v>0.53157894736842071</v>
      </c>
      <c r="AX122" s="22"/>
      <c r="AY122" s="227">
        <f>(AX121-AX102)/19</f>
        <v>0.52789473684210531</v>
      </c>
      <c r="AZ122" s="22"/>
      <c r="BA122" s="227">
        <f>(AZ121-AZ102)/19</f>
        <v>0.52578947368421103</v>
      </c>
      <c r="BB122" s="22"/>
      <c r="BC122" s="227">
        <f>(BB121-BB102)/19</f>
        <v>0.52421052631578835</v>
      </c>
      <c r="BD122" s="22"/>
      <c r="BE122" s="231">
        <f>(BD121-BD102)/19</f>
        <v>0.52315789473684193</v>
      </c>
      <c r="BF122" s="232">
        <f>(BE122+BC122+BA122+AY122+AW122)/5</f>
        <v>0.52652631578947351</v>
      </c>
      <c r="BG122" t="s">
        <v>440</v>
      </c>
      <c r="BI122" s="83" t="s">
        <v>781</v>
      </c>
      <c r="BK122" s="227">
        <f>(BJ121-BJ102)/19</f>
        <v>0.52631578947368418</v>
      </c>
      <c r="BL122" s="22"/>
      <c r="BM122" s="227">
        <f>(BL121-BL102)/19</f>
        <v>0.52842105263157924</v>
      </c>
      <c r="BN122" s="22"/>
      <c r="BO122" s="227">
        <f>(BN121-BN102)/19</f>
        <v>0.53157894736842115</v>
      </c>
      <c r="BP122" s="22"/>
      <c r="BQ122" s="227">
        <f>(BP121-BP102)/19</f>
        <v>0.53631578947368408</v>
      </c>
      <c r="BR122" s="22"/>
      <c r="BS122" s="231">
        <f>(BR121-BR102)/19</f>
        <v>0.54210526315789453</v>
      </c>
      <c r="BT122" s="232">
        <f>(BS122+BQ122+BO122+BM122+BK122)/5</f>
        <v>0.53294736842105261</v>
      </c>
      <c r="BU122" t="s">
        <v>440</v>
      </c>
      <c r="BW122" s="83" t="s">
        <v>781</v>
      </c>
      <c r="BY122" s="227">
        <f>(BX121-BX102)/19</f>
        <v>0.35526315789473684</v>
      </c>
      <c r="BZ122" s="22"/>
      <c r="CA122" s="227">
        <f>(BZ121-BZ102)/19</f>
        <v>0.353157894736841</v>
      </c>
      <c r="CB122" s="22"/>
      <c r="CC122" s="227">
        <f>(CB121-CB102)/19</f>
        <v>0.35105263157894673</v>
      </c>
      <c r="CD122" s="22"/>
      <c r="CE122" s="227">
        <f>(CD121-CD102)/19</f>
        <v>0.35000000000000031</v>
      </c>
      <c r="CF122" s="22"/>
      <c r="CG122" s="231">
        <f>(CF121-CF102)/19</f>
        <v>0.3489473684210524</v>
      </c>
      <c r="CH122" s="232">
        <f>(CG122+CE122+CC122+CA122+BY122)/5</f>
        <v>0.35168421052631543</v>
      </c>
      <c r="CI122" t="s">
        <v>440</v>
      </c>
      <c r="CY122" s="83" t="s">
        <v>781</v>
      </c>
      <c r="DA122" s="227">
        <f>(CZ121-CZ102)/19</f>
        <v>0.35000000000000031</v>
      </c>
      <c r="DB122" s="22"/>
      <c r="DC122" s="227">
        <f>(DB121-DB102)/19</f>
        <v>0.35210526315789464</v>
      </c>
      <c r="DD122" s="22"/>
      <c r="DE122" s="227">
        <f>(DD121-DD102)/19</f>
        <v>0.35368421052631571</v>
      </c>
      <c r="DF122" s="22"/>
      <c r="DG122" s="227">
        <f>(DF121-DF102)/19</f>
        <v>0.35684210526315796</v>
      </c>
      <c r="DH122" s="22"/>
      <c r="DI122" s="231">
        <f>(DH121-DH102)/19</f>
        <v>0.36000000000000015</v>
      </c>
      <c r="DJ122" s="232">
        <f>(DI122+DG122+DE122+DC122+DA122)/5</f>
        <v>0.35452631578947374</v>
      </c>
      <c r="DK122" t="s">
        <v>440</v>
      </c>
    </row>
    <row r="123" spans="1:115" x14ac:dyDescent="0.35">
      <c r="A123" s="28" t="s">
        <v>47</v>
      </c>
      <c r="B123" s="29" t="s">
        <v>102</v>
      </c>
      <c r="C123" s="30">
        <f>-16</f>
        <v>-16</v>
      </c>
      <c r="D123" s="36">
        <f>20</f>
        <v>20</v>
      </c>
      <c r="E123" s="4">
        <v>22</v>
      </c>
      <c r="F123" s="4">
        <v>20</v>
      </c>
      <c r="G123" s="4">
        <v>20</v>
      </c>
      <c r="H123" s="38">
        <v>3</v>
      </c>
      <c r="I123" s="8">
        <v>0.5</v>
      </c>
      <c r="J123" s="4"/>
      <c r="M123" s="8"/>
      <c r="N123" s="8"/>
      <c r="O123" s="8"/>
      <c r="P123" s="8"/>
      <c r="R123" s="18"/>
      <c r="U123" s="226">
        <f>T121-V121</f>
        <v>15.02000000000001</v>
      </c>
      <c r="W123" s="226">
        <f>V121-X121</f>
        <v>15.030000000000001</v>
      </c>
      <c r="Y123" s="226">
        <f>X121-Z121</f>
        <v>15.050000000000011</v>
      </c>
      <c r="AA123" s="226">
        <f>Z121-AB121</f>
        <v>15.069999999999993</v>
      </c>
      <c r="AD123" s="233">
        <f>(U101+W101+Y101+AA101+U123+W123+Y123+AA123)/8</f>
        <v>15.027500000000003</v>
      </c>
      <c r="AE123" t="s">
        <v>637</v>
      </c>
      <c r="AI123" s="226">
        <f>AH121-AJ121</f>
        <v>15.080000000000013</v>
      </c>
      <c r="AK123" s="226">
        <f>AJ121-AL121</f>
        <v>15.11</v>
      </c>
      <c r="AM123" s="226">
        <f>AL121-AN121</f>
        <v>15.11999999999999</v>
      </c>
      <c r="AO123" s="226">
        <f>AN121-AP121</f>
        <v>15.130000000000003</v>
      </c>
      <c r="AR123" s="233">
        <f>(AI101+AK101+AM101+AO101+AI123+AK123+AM123+AO123)/8</f>
        <v>15.133749999999999</v>
      </c>
      <c r="AS123" t="s">
        <v>637</v>
      </c>
      <c r="AW123" s="226">
        <f>AV121-AX121</f>
        <v>14.969999999999999</v>
      </c>
      <c r="AY123" s="226">
        <f>AX121-AZ121</f>
        <v>14.990000000000009</v>
      </c>
      <c r="BA123" s="226">
        <f>AZ121-BB121</f>
        <v>15.02000000000001</v>
      </c>
      <c r="BC123" s="226">
        <f>BB121-BD121</f>
        <v>15.039999999999992</v>
      </c>
      <c r="BF123" s="233">
        <f>(AW101+AY101+BA101+BC101+AW123+AY123+BA123+BC123)/8</f>
        <v>14.985000000000003</v>
      </c>
      <c r="BG123" t="s">
        <v>637</v>
      </c>
      <c r="BK123" s="226">
        <f>BJ121-BL121</f>
        <v>15.099999999999994</v>
      </c>
      <c r="BM123" s="226">
        <f>BL121-BN121</f>
        <v>15.120000000000005</v>
      </c>
      <c r="BO123" s="226">
        <f>BN121-BP121</f>
        <v>15.14</v>
      </c>
      <c r="BQ123" s="226">
        <f>BP121-BR121</f>
        <v>15.170000000000002</v>
      </c>
      <c r="BT123" s="233">
        <f>(BK101+BM101+BO101+BQ101+BK123+BM123+BO123+BQ123)/8</f>
        <v>15.17</v>
      </c>
      <c r="BU123" t="s">
        <v>637</v>
      </c>
      <c r="BY123" s="226">
        <f>BX121-BZ121</f>
        <v>14.990000000000009</v>
      </c>
      <c r="CA123" s="226">
        <f>BZ121-CB121</f>
        <v>15.009999999999991</v>
      </c>
      <c r="CC123" s="226">
        <f>CB121-CD121</f>
        <v>15.030000000000001</v>
      </c>
      <c r="CE123" s="226">
        <f>CD121-CF121</f>
        <v>15.050000000000011</v>
      </c>
      <c r="CH123" s="233">
        <f>(BY101+CA101+CC101+CE101+BY123+CA123+CC123+CE123)/8</f>
        <v>15.005000000000003</v>
      </c>
      <c r="CI123" t="s">
        <v>637</v>
      </c>
      <c r="CZ123">
        <f>CZ121-BX121</f>
        <v>-100.44</v>
      </c>
      <c r="DA123" s="226">
        <f>CZ121-DB121</f>
        <v>15.070000000000007</v>
      </c>
      <c r="DB123">
        <f>DB121-BZ121</f>
        <v>-100.52</v>
      </c>
      <c r="DC123" s="226">
        <f>DB121-DD121</f>
        <v>15.099999999999994</v>
      </c>
      <c r="DD123">
        <f>DD121-CB121</f>
        <v>-100.61</v>
      </c>
      <c r="DE123" s="226">
        <f>DD121-DF121</f>
        <v>15.100000000000001</v>
      </c>
      <c r="DF123">
        <f>DF121-CD121</f>
        <v>-100.68</v>
      </c>
      <c r="DG123" s="226">
        <f>DF121-DH121</f>
        <v>15.129999999999995</v>
      </c>
      <c r="DH123">
        <f>DH121-CF121</f>
        <v>-100.75999999999999</v>
      </c>
      <c r="DJ123" s="233">
        <f>(DA101+DC101+DE101+DG101+DA123+DC123+DE123+DG123)/8</f>
        <v>15.123749999999998</v>
      </c>
      <c r="DK123" t="s">
        <v>637</v>
      </c>
    </row>
    <row r="124" spans="1:115" x14ac:dyDescent="0.35">
      <c r="A124" s="28" t="s">
        <v>81</v>
      </c>
      <c r="B124" s="29" t="s">
        <v>103</v>
      </c>
      <c r="C124" s="30">
        <f>14</f>
        <v>14</v>
      </c>
      <c r="D124" s="36">
        <f>20</f>
        <v>20</v>
      </c>
      <c r="E124" s="4">
        <v>21.5</v>
      </c>
      <c r="F124" s="4">
        <v>20</v>
      </c>
      <c r="G124" s="4">
        <v>20</v>
      </c>
      <c r="H124" s="38">
        <v>6</v>
      </c>
      <c r="I124" s="8">
        <v>0</v>
      </c>
      <c r="J124" s="4"/>
      <c r="M124" s="8"/>
      <c r="N124" s="8"/>
      <c r="O124" s="8"/>
      <c r="P124" s="8"/>
      <c r="R124" s="18"/>
      <c r="AD124">
        <f>AD123/15</f>
        <v>1.0018333333333336</v>
      </c>
      <c r="AR124">
        <f>AR123/15</f>
        <v>1.0089166666666667</v>
      </c>
      <c r="BF124">
        <f>BF123/15</f>
        <v>0.99900000000000022</v>
      </c>
      <c r="BT124">
        <f>BT123/15</f>
        <v>1.0113333333333334</v>
      </c>
      <c r="CH124">
        <f>CH123/15</f>
        <v>1.0003333333333335</v>
      </c>
      <c r="DJ124">
        <f>DJ123/15</f>
        <v>1.0082499999999999</v>
      </c>
    </row>
    <row r="125" spans="1:115" x14ac:dyDescent="0.35">
      <c r="A125" s="28" t="s">
        <v>1052</v>
      </c>
      <c r="B125" s="29" t="s">
        <v>104</v>
      </c>
      <c r="C125" s="30">
        <f>15</f>
        <v>15</v>
      </c>
      <c r="D125" s="53">
        <f>0</f>
        <v>0</v>
      </c>
      <c r="E125" s="31">
        <v>0</v>
      </c>
      <c r="F125" s="55" t="s">
        <v>140</v>
      </c>
      <c r="G125" s="55" t="s">
        <v>140</v>
      </c>
      <c r="H125" s="38">
        <v>0</v>
      </c>
      <c r="I125" s="8">
        <v>0.5</v>
      </c>
      <c r="J125" s="55"/>
      <c r="M125" s="8"/>
      <c r="N125" s="8"/>
      <c r="O125" s="8"/>
      <c r="P125" s="8"/>
      <c r="R125" s="18"/>
      <c r="S125" s="442" t="s">
        <v>836</v>
      </c>
      <c r="T125" s="443"/>
      <c r="U125" s="443"/>
      <c r="V125" s="443"/>
      <c r="W125" s="443"/>
      <c r="X125" s="443"/>
      <c r="Y125" s="443"/>
      <c r="Z125" s="443"/>
      <c r="AA125" s="443"/>
      <c r="AB125" s="443"/>
      <c r="AC125" s="444"/>
      <c r="AG125" s="442" t="s">
        <v>836</v>
      </c>
      <c r="AH125" s="443"/>
      <c r="AI125" s="443"/>
      <c r="AJ125" s="443"/>
      <c r="AK125" s="443"/>
      <c r="AL125" s="443"/>
      <c r="AM125" s="443"/>
      <c r="AN125" s="443"/>
      <c r="AO125" s="443"/>
      <c r="AP125" s="443"/>
      <c r="AQ125" s="444"/>
      <c r="AU125" s="430" t="s">
        <v>840</v>
      </c>
      <c r="AV125" s="431"/>
      <c r="AW125" s="431"/>
      <c r="AX125" s="431"/>
      <c r="AY125" s="431"/>
      <c r="AZ125" s="431"/>
      <c r="BA125" s="431"/>
      <c r="BB125" s="431"/>
      <c r="BC125" s="431"/>
      <c r="BD125" s="431"/>
      <c r="BE125" s="432"/>
      <c r="BI125" s="430" t="s">
        <v>840</v>
      </c>
      <c r="BJ125" s="431"/>
      <c r="BK125" s="431"/>
      <c r="BL125" s="431"/>
      <c r="BM125" s="431"/>
      <c r="BN125" s="431"/>
      <c r="BO125" s="431"/>
      <c r="BP125" s="431"/>
      <c r="BQ125" s="431"/>
      <c r="BR125" s="431"/>
      <c r="BS125" s="432"/>
    </row>
    <row r="126" spans="1:115" x14ac:dyDescent="0.35">
      <c r="A126" s="28" t="s">
        <v>82</v>
      </c>
      <c r="B126" s="29" t="s">
        <v>116</v>
      </c>
      <c r="C126" s="30">
        <f>-22</f>
        <v>-22</v>
      </c>
      <c r="D126" s="53">
        <f>0</f>
        <v>0</v>
      </c>
      <c r="E126" s="4">
        <v>22.5</v>
      </c>
      <c r="F126" s="8">
        <v>0</v>
      </c>
      <c r="G126" s="8">
        <v>20</v>
      </c>
      <c r="H126" s="38">
        <v>0</v>
      </c>
      <c r="I126" s="8">
        <v>0.5</v>
      </c>
      <c r="J126" s="8"/>
      <c r="M126" s="8"/>
      <c r="N126" s="8"/>
      <c r="O126" s="8"/>
      <c r="P126" s="8"/>
      <c r="R126" s="18"/>
      <c r="S126" s="445" t="s">
        <v>839</v>
      </c>
      <c r="T126" s="446"/>
      <c r="U126" s="446"/>
      <c r="V126" s="446"/>
      <c r="W126" s="446"/>
      <c r="X126" s="446"/>
      <c r="Y126" s="446"/>
      <c r="Z126" s="446"/>
      <c r="AA126" s="446"/>
      <c r="AB126" s="446"/>
      <c r="AC126" s="447"/>
      <c r="AG126" s="445" t="s">
        <v>839</v>
      </c>
      <c r="AH126" s="446"/>
      <c r="AI126" s="446"/>
      <c r="AJ126" s="446"/>
      <c r="AK126" s="446"/>
      <c r="AL126" s="446"/>
      <c r="AM126" s="446"/>
      <c r="AN126" s="446"/>
      <c r="AO126" s="446"/>
      <c r="AP126" s="446"/>
      <c r="AQ126" s="447"/>
      <c r="AU126" s="433" t="s">
        <v>839</v>
      </c>
      <c r="AV126" s="434"/>
      <c r="AW126" s="434"/>
      <c r="AX126" s="434"/>
      <c r="AY126" s="434"/>
      <c r="AZ126" s="434"/>
      <c r="BA126" s="434"/>
      <c r="BB126" s="434"/>
      <c r="BC126" s="434"/>
      <c r="BD126" s="434"/>
      <c r="BE126" s="435"/>
      <c r="BI126" s="433" t="s">
        <v>839</v>
      </c>
      <c r="BJ126" s="434"/>
      <c r="BK126" s="434"/>
      <c r="BL126" s="434"/>
      <c r="BM126" s="434"/>
      <c r="BN126" s="434"/>
      <c r="BO126" s="434"/>
      <c r="BP126" s="434"/>
      <c r="BQ126" s="434"/>
      <c r="BR126" s="434"/>
      <c r="BS126" s="435"/>
    </row>
    <row r="127" spans="1:115" x14ac:dyDescent="0.35">
      <c r="A127" s="28" t="s">
        <v>80</v>
      </c>
      <c r="B127" s="29" t="s">
        <v>117</v>
      </c>
      <c r="C127" s="30">
        <f>-16</f>
        <v>-16</v>
      </c>
      <c r="D127" s="53">
        <f>20</f>
        <v>20</v>
      </c>
      <c r="E127" s="4">
        <v>22</v>
      </c>
      <c r="F127" s="8">
        <v>20</v>
      </c>
      <c r="G127" s="8">
        <v>20</v>
      </c>
      <c r="H127" s="38">
        <v>3</v>
      </c>
      <c r="I127" s="8">
        <v>0.5</v>
      </c>
      <c r="J127" s="8"/>
      <c r="M127" s="8"/>
      <c r="N127" s="8"/>
      <c r="O127" s="8"/>
      <c r="P127" s="8"/>
      <c r="R127" s="18"/>
      <c r="S127" s="295" t="s">
        <v>440</v>
      </c>
      <c r="T127" s="4">
        <v>1</v>
      </c>
      <c r="U127" s="229">
        <f>T128-V128</f>
        <v>3.4000000000000057</v>
      </c>
      <c r="V127" s="4">
        <v>2</v>
      </c>
      <c r="W127" s="229">
        <f>V128-X128</f>
        <v>15</v>
      </c>
      <c r="X127" s="4">
        <v>3</v>
      </c>
      <c r="Y127" s="229">
        <f>X128-Z128</f>
        <v>15.02000000000001</v>
      </c>
      <c r="Z127" s="4">
        <v>4</v>
      </c>
      <c r="AA127" s="229">
        <f>Z128-AB128</f>
        <v>26.699999999999989</v>
      </c>
      <c r="AB127" s="4">
        <v>5</v>
      </c>
      <c r="AC127" s="2"/>
      <c r="AG127" s="295" t="s">
        <v>440</v>
      </c>
      <c r="AH127" s="4">
        <v>1</v>
      </c>
      <c r="AI127" s="229">
        <f>AH128-AJ128</f>
        <v>128.72999999999999</v>
      </c>
      <c r="AJ127" s="4">
        <v>2</v>
      </c>
      <c r="AK127" s="229">
        <f>AJ128-AL128</f>
        <v>0</v>
      </c>
      <c r="AL127" s="4">
        <v>3</v>
      </c>
      <c r="AM127" s="229">
        <f>AL128-AN128</f>
        <v>0</v>
      </c>
      <c r="AN127" s="4">
        <v>4</v>
      </c>
      <c r="AO127" s="229">
        <f>AN128-AP128</f>
        <v>-68.02</v>
      </c>
      <c r="AP127" s="4">
        <v>5</v>
      </c>
      <c r="AQ127" s="2"/>
      <c r="AU127" s="295" t="s">
        <v>440</v>
      </c>
      <c r="AV127" s="4">
        <v>1</v>
      </c>
      <c r="AW127" s="229">
        <f>AV128-AX128</f>
        <v>0</v>
      </c>
      <c r="AX127" s="4">
        <v>2</v>
      </c>
      <c r="AY127" s="229">
        <f>AX128-AZ128</f>
        <v>0</v>
      </c>
      <c r="AZ127" s="4">
        <v>3</v>
      </c>
      <c r="BA127" s="229">
        <f>AZ128-BB128</f>
        <v>0</v>
      </c>
      <c r="BB127" s="4">
        <v>4</v>
      </c>
      <c r="BC127" s="229">
        <f>BB128-BD128</f>
        <v>-169.63</v>
      </c>
      <c r="BD127" s="4">
        <v>5</v>
      </c>
      <c r="BE127" s="2"/>
      <c r="BI127" s="295" t="s">
        <v>440</v>
      </c>
      <c r="BJ127" s="4">
        <v>1</v>
      </c>
      <c r="BK127" s="229">
        <f>BJ128-BL128</f>
        <v>0</v>
      </c>
      <c r="BL127" s="4">
        <v>2</v>
      </c>
      <c r="BM127" s="229">
        <f>BL128-BN128</f>
        <v>0</v>
      </c>
      <c r="BN127" s="4">
        <v>3</v>
      </c>
      <c r="BO127" s="229">
        <f>BN128-BP128</f>
        <v>0</v>
      </c>
      <c r="BP127" s="4">
        <v>4</v>
      </c>
      <c r="BQ127" s="229">
        <f>BP128-BR128</f>
        <v>-67.11</v>
      </c>
      <c r="BR127" s="4">
        <v>5</v>
      </c>
      <c r="BS127" s="2"/>
    </row>
    <row r="128" spans="1:115" x14ac:dyDescent="0.35">
      <c r="A128" s="28" t="s">
        <v>83</v>
      </c>
      <c r="B128" s="29" t="s">
        <v>118</v>
      </c>
      <c r="C128" s="30">
        <f>-16</f>
        <v>-16</v>
      </c>
      <c r="D128" s="53">
        <f>20</f>
        <v>20</v>
      </c>
      <c r="E128" s="4">
        <v>22</v>
      </c>
      <c r="F128" s="8">
        <v>20</v>
      </c>
      <c r="G128" s="8">
        <v>20</v>
      </c>
      <c r="H128" s="38">
        <v>3</v>
      </c>
      <c r="I128" s="8">
        <v>0.5</v>
      </c>
      <c r="J128" s="8"/>
      <c r="M128" s="8"/>
      <c r="N128" s="8"/>
      <c r="O128" s="8"/>
      <c r="P128" s="8"/>
      <c r="R128" s="18">
        <f>T128-T102</f>
        <v>40.099999999999994</v>
      </c>
      <c r="S128" s="228">
        <v>290</v>
      </c>
      <c r="T128" s="163">
        <v>229.87</v>
      </c>
      <c r="U128" s="173"/>
      <c r="V128" s="173">
        <v>226.47</v>
      </c>
      <c r="W128" s="173"/>
      <c r="X128" s="173">
        <v>211.47</v>
      </c>
      <c r="Y128" s="173"/>
      <c r="Z128" s="173">
        <v>196.45</v>
      </c>
      <c r="AA128" s="173"/>
      <c r="AB128" s="163">
        <v>169.75</v>
      </c>
      <c r="AC128" s="174"/>
      <c r="AD128">
        <f>AB128-AB102</f>
        <v>40.03</v>
      </c>
      <c r="AF128" s="18">
        <f>AH128-AH102</f>
        <v>39.97999999999999</v>
      </c>
      <c r="AG128" s="228">
        <v>290</v>
      </c>
      <c r="AH128" s="185">
        <v>128.72999999999999</v>
      </c>
      <c r="AI128" s="4"/>
      <c r="AJ128" s="4"/>
      <c r="AK128" s="4"/>
      <c r="AL128" s="8"/>
      <c r="AM128" s="4"/>
      <c r="AN128" s="4"/>
      <c r="AO128" s="4"/>
      <c r="AP128" s="4">
        <v>68.02</v>
      </c>
      <c r="AQ128" s="2"/>
      <c r="AR128">
        <f>AP128-AP102</f>
        <v>39.899999999999991</v>
      </c>
      <c r="AU128" s="228">
        <v>290</v>
      </c>
      <c r="AV128" s="185"/>
      <c r="AW128" s="4"/>
      <c r="AX128" s="4"/>
      <c r="AY128" s="4"/>
      <c r="AZ128" s="4"/>
      <c r="BA128" s="4"/>
      <c r="BB128" s="4"/>
      <c r="BC128" s="4"/>
      <c r="BD128" s="4">
        <v>169.63</v>
      </c>
      <c r="BE128" s="2"/>
      <c r="BF128">
        <f>BD128-BD102</f>
        <v>40.19</v>
      </c>
      <c r="BI128" s="228">
        <v>290</v>
      </c>
      <c r="BJ128" s="185"/>
      <c r="BK128" s="4"/>
      <c r="BL128" s="4"/>
      <c r="BM128" s="4"/>
      <c r="BN128" s="4"/>
      <c r="BO128" s="4"/>
      <c r="BP128" s="4"/>
      <c r="BQ128" s="4"/>
      <c r="BR128" s="4">
        <v>67.11</v>
      </c>
      <c r="BS128" s="2"/>
      <c r="BT128">
        <f>BR128-BR102</f>
        <v>40</v>
      </c>
    </row>
    <row r="129" spans="1:71" x14ac:dyDescent="0.35">
      <c r="A129" s="28" t="s">
        <v>84</v>
      </c>
      <c r="B129" s="29" t="s">
        <v>119</v>
      </c>
      <c r="C129" s="30">
        <f>14</f>
        <v>14</v>
      </c>
      <c r="D129" s="53">
        <v>20</v>
      </c>
      <c r="E129" s="4">
        <v>21.5</v>
      </c>
      <c r="F129" s="8">
        <v>20</v>
      </c>
      <c r="G129" s="8">
        <v>20</v>
      </c>
      <c r="H129" s="38">
        <v>6</v>
      </c>
      <c r="I129" s="8">
        <v>0</v>
      </c>
      <c r="J129" s="8"/>
      <c r="M129" s="8"/>
      <c r="N129" s="8"/>
      <c r="O129" s="8"/>
      <c r="P129" s="8"/>
      <c r="R129" s="18"/>
      <c r="S129" s="228">
        <v>300</v>
      </c>
      <c r="T129" s="163">
        <v>230.23</v>
      </c>
      <c r="U129" s="173">
        <f>T129-T128</f>
        <v>0.35999999999998522</v>
      </c>
      <c r="V129" s="173">
        <v>226.83</v>
      </c>
      <c r="W129" s="173">
        <f>V129-V128</f>
        <v>0.36000000000001364</v>
      </c>
      <c r="X129" s="173">
        <v>211.83</v>
      </c>
      <c r="Y129" s="173">
        <f>X129-X128</f>
        <v>0.36000000000001364</v>
      </c>
      <c r="Z129" s="173">
        <v>196.8</v>
      </c>
      <c r="AA129" s="173">
        <f>Z129-Z128</f>
        <v>0.35000000000002274</v>
      </c>
      <c r="AB129" s="163">
        <v>170.1</v>
      </c>
      <c r="AC129" s="174">
        <f>AB129-AB128</f>
        <v>0.34999999999999432</v>
      </c>
      <c r="AG129" s="228">
        <v>300</v>
      </c>
      <c r="AH129" s="4"/>
      <c r="AI129" s="4">
        <f>AH129-AH128</f>
        <v>-128.72999999999999</v>
      </c>
      <c r="AJ129" s="4"/>
      <c r="AK129" s="4">
        <f>AJ129-AJ128</f>
        <v>0</v>
      </c>
      <c r="AL129" s="8"/>
      <c r="AM129" s="4">
        <f>AL129-AL128</f>
        <v>0</v>
      </c>
      <c r="AN129" s="4"/>
      <c r="AO129" s="4">
        <f>AN129-AN128</f>
        <v>0</v>
      </c>
      <c r="AP129" s="4"/>
      <c r="AQ129" s="2">
        <f>AP129-AP128</f>
        <v>-68.02</v>
      </c>
      <c r="AU129" s="228">
        <v>300</v>
      </c>
      <c r="AV129" s="4"/>
      <c r="AW129" s="4">
        <f>AV129-AV128</f>
        <v>0</v>
      </c>
      <c r="AX129" s="4"/>
      <c r="AY129" s="4">
        <f>AX129-AX128</f>
        <v>0</v>
      </c>
      <c r="AZ129" s="4"/>
      <c r="BA129" s="4">
        <f>AZ129-AZ128</f>
        <v>0</v>
      </c>
      <c r="BB129" s="4"/>
      <c r="BC129" s="4">
        <f>BB129-BB128</f>
        <v>0</v>
      </c>
      <c r="BD129" s="4"/>
      <c r="BE129" s="2">
        <f>BD129-BD128</f>
        <v>-169.63</v>
      </c>
      <c r="BI129" s="228">
        <v>300</v>
      </c>
      <c r="BJ129" s="4"/>
      <c r="BK129" s="4">
        <f>BJ129-BJ128</f>
        <v>0</v>
      </c>
      <c r="BL129" s="4"/>
      <c r="BM129" s="4">
        <f>BL129-BL128</f>
        <v>0</v>
      </c>
      <c r="BN129" s="4"/>
      <c r="BO129" s="4">
        <f>BN129-BN128</f>
        <v>0</v>
      </c>
      <c r="BP129" s="4"/>
      <c r="BQ129" s="4">
        <f>BP129-BP128</f>
        <v>0</v>
      </c>
      <c r="BR129" s="4"/>
      <c r="BS129" s="2">
        <f>BR129-BR128</f>
        <v>-67.11</v>
      </c>
    </row>
    <row r="130" spans="1:71" x14ac:dyDescent="0.35">
      <c r="A130" s="28" t="s">
        <v>85</v>
      </c>
      <c r="B130" s="29" t="s">
        <v>120</v>
      </c>
      <c r="C130" s="30">
        <f>14</f>
        <v>14</v>
      </c>
      <c r="D130" s="53">
        <v>20</v>
      </c>
      <c r="E130" s="4">
        <v>21.5</v>
      </c>
      <c r="F130" s="8">
        <v>20</v>
      </c>
      <c r="G130" s="8">
        <v>20</v>
      </c>
      <c r="H130" s="38">
        <v>6</v>
      </c>
      <c r="I130" s="8">
        <v>0</v>
      </c>
      <c r="J130" s="8"/>
      <c r="M130" s="8"/>
      <c r="N130" s="8"/>
      <c r="O130" s="8"/>
      <c r="P130" s="8"/>
      <c r="R130" s="18"/>
      <c r="S130" s="228">
        <v>310</v>
      </c>
      <c r="T130" s="194"/>
      <c r="U130" s="173">
        <f t="shared" ref="U130:U147" si="130">T130-T129</f>
        <v>-230.23</v>
      </c>
      <c r="V130" s="194"/>
      <c r="W130" s="173">
        <f t="shared" ref="W130:W147" si="131">V130-V129</f>
        <v>-226.83</v>
      </c>
      <c r="X130" s="194"/>
      <c r="Y130" s="173">
        <f t="shared" ref="Y130:Y147" si="132">X130-X129</f>
        <v>-211.83</v>
      </c>
      <c r="Z130" s="173"/>
      <c r="AA130" s="173">
        <f t="shared" ref="AA130:AA147" si="133">Z130-Z129</f>
        <v>-196.8</v>
      </c>
      <c r="AB130" s="194"/>
      <c r="AC130" s="174">
        <f t="shared" ref="AC130:AC147" si="134">AB130-AB129</f>
        <v>-170.1</v>
      </c>
      <c r="AE130" s="4"/>
      <c r="AF130" s="4"/>
      <c r="AG130" s="228">
        <v>310</v>
      </c>
      <c r="AH130" s="4"/>
      <c r="AI130" s="4">
        <f t="shared" ref="AI130:AI147" si="135">AH130-AH129</f>
        <v>0</v>
      </c>
      <c r="AJ130" s="4"/>
      <c r="AK130" s="4">
        <f t="shared" ref="AK130:AK147" si="136">AJ130-AJ129</f>
        <v>0</v>
      </c>
      <c r="AL130" s="4"/>
      <c r="AM130" s="4">
        <f t="shared" ref="AM130:AM147" si="137">AL130-AL129</f>
        <v>0</v>
      </c>
      <c r="AN130" s="4"/>
      <c r="AO130" s="4">
        <f t="shared" ref="AO130:AO147" si="138">AN130-AN129</f>
        <v>0</v>
      </c>
      <c r="AP130" s="4"/>
      <c r="AQ130" s="2">
        <f t="shared" ref="AQ130:AQ147" si="139">AP130-AP129</f>
        <v>0</v>
      </c>
      <c r="AU130" s="228">
        <v>310</v>
      </c>
      <c r="AV130" s="8"/>
      <c r="AW130" s="4">
        <f t="shared" ref="AW130:AW147" si="140">AV130-AV129</f>
        <v>0</v>
      </c>
      <c r="AX130" s="8"/>
      <c r="AY130" s="4">
        <f t="shared" ref="AY130:AY147" si="141">AX130-AX129</f>
        <v>0</v>
      </c>
      <c r="AZ130" s="8"/>
      <c r="BA130" s="4">
        <f t="shared" ref="BA130:BA147" si="142">AZ130-AZ129</f>
        <v>0</v>
      </c>
      <c r="BB130" s="4"/>
      <c r="BC130" s="4">
        <f t="shared" ref="BC130:BC147" si="143">BB130-BB129</f>
        <v>0</v>
      </c>
      <c r="BD130" s="8"/>
      <c r="BE130" s="2">
        <f t="shared" ref="BE130:BE147" si="144">BD130-BD129</f>
        <v>0</v>
      </c>
      <c r="BI130" s="228">
        <v>310</v>
      </c>
      <c r="BJ130" s="8"/>
      <c r="BK130" s="4">
        <f t="shared" ref="BK130:BK147" si="145">BJ130-BJ129</f>
        <v>0</v>
      </c>
      <c r="BL130" s="8"/>
      <c r="BM130" s="4">
        <f t="shared" ref="BM130:BM147" si="146">BL130-BL129</f>
        <v>0</v>
      </c>
      <c r="BN130" s="8"/>
      <c r="BO130" s="4">
        <f t="shared" ref="BO130:BO147" si="147">BN130-BN129</f>
        <v>0</v>
      </c>
      <c r="BP130" s="4"/>
      <c r="BQ130" s="4">
        <f t="shared" ref="BQ130:BQ147" si="148">BP130-BP129</f>
        <v>0</v>
      </c>
      <c r="BR130" s="8"/>
      <c r="BS130" s="2">
        <f t="shared" ref="BS130:BS147" si="149">BR130-BR129</f>
        <v>0</v>
      </c>
    </row>
    <row r="131" spans="1:71" x14ac:dyDescent="0.35">
      <c r="A131" s="28" t="s">
        <v>1053</v>
      </c>
      <c r="B131" s="29" t="s">
        <v>121</v>
      </c>
      <c r="C131" s="30">
        <f>15</f>
        <v>15</v>
      </c>
      <c r="D131" s="53">
        <v>0</v>
      </c>
      <c r="E131" s="31">
        <v>0</v>
      </c>
      <c r="F131" s="55" t="s">
        <v>140</v>
      </c>
      <c r="G131" s="55" t="s">
        <v>140</v>
      </c>
      <c r="H131" s="38">
        <v>0</v>
      </c>
      <c r="I131" s="8">
        <v>0.5</v>
      </c>
      <c r="J131" s="55"/>
      <c r="M131" s="8"/>
      <c r="N131" s="8"/>
      <c r="O131" s="8"/>
      <c r="P131" s="8"/>
      <c r="R131" s="18"/>
      <c r="S131" s="228">
        <v>320</v>
      </c>
      <c r="T131" s="173"/>
      <c r="U131" s="173">
        <f t="shared" si="130"/>
        <v>0</v>
      </c>
      <c r="V131" s="173"/>
      <c r="W131" s="173">
        <f t="shared" si="131"/>
        <v>0</v>
      </c>
      <c r="X131" s="173"/>
      <c r="Y131" s="173">
        <f t="shared" si="132"/>
        <v>0</v>
      </c>
      <c r="Z131" s="173"/>
      <c r="AA131" s="173">
        <f t="shared" si="133"/>
        <v>0</v>
      </c>
      <c r="AB131" s="173"/>
      <c r="AC131" s="174">
        <f t="shared" si="134"/>
        <v>0</v>
      </c>
      <c r="AE131" s="4"/>
      <c r="AF131" s="4"/>
      <c r="AG131" s="228">
        <v>320</v>
      </c>
      <c r="AH131" s="4"/>
      <c r="AI131" s="173">
        <f t="shared" si="135"/>
        <v>0</v>
      </c>
      <c r="AJ131" s="4"/>
      <c r="AK131" s="173">
        <f t="shared" si="136"/>
        <v>0</v>
      </c>
      <c r="AL131" s="4"/>
      <c r="AM131" s="4">
        <f t="shared" si="137"/>
        <v>0</v>
      </c>
      <c r="AN131" s="4"/>
      <c r="AO131" s="4">
        <f t="shared" si="138"/>
        <v>0</v>
      </c>
      <c r="AP131" s="4"/>
      <c r="AQ131" s="2">
        <f t="shared" si="139"/>
        <v>0</v>
      </c>
      <c r="AU131" s="228">
        <v>320</v>
      </c>
      <c r="AV131" s="4"/>
      <c r="AW131" s="173">
        <f t="shared" si="140"/>
        <v>0</v>
      </c>
      <c r="AX131" s="4"/>
      <c r="AY131" s="173">
        <f t="shared" si="141"/>
        <v>0</v>
      </c>
      <c r="AZ131" s="4"/>
      <c r="BA131" s="4">
        <f t="shared" si="142"/>
        <v>0</v>
      </c>
      <c r="BB131" s="4"/>
      <c r="BC131" s="4">
        <f t="shared" si="143"/>
        <v>0</v>
      </c>
      <c r="BD131" s="4"/>
      <c r="BE131" s="2">
        <f t="shared" si="144"/>
        <v>0</v>
      </c>
      <c r="BI131" s="228">
        <v>320</v>
      </c>
      <c r="BJ131" s="4"/>
      <c r="BK131" s="173">
        <f t="shared" si="145"/>
        <v>0</v>
      </c>
      <c r="BL131" s="4"/>
      <c r="BM131" s="173">
        <f t="shared" si="146"/>
        <v>0</v>
      </c>
      <c r="BN131" s="4"/>
      <c r="BO131" s="4">
        <f t="shared" si="147"/>
        <v>0</v>
      </c>
      <c r="BP131" s="4"/>
      <c r="BQ131" s="4">
        <f t="shared" si="148"/>
        <v>0</v>
      </c>
      <c r="BR131" s="4"/>
      <c r="BS131" s="2">
        <f t="shared" si="149"/>
        <v>0</v>
      </c>
    </row>
    <row r="132" spans="1:71" x14ac:dyDescent="0.35">
      <c r="A132" s="28" t="s">
        <v>1054</v>
      </c>
      <c r="B132" s="29" t="s">
        <v>122</v>
      </c>
      <c r="C132" s="30">
        <f>15</f>
        <v>15</v>
      </c>
      <c r="D132" s="53">
        <v>0</v>
      </c>
      <c r="E132" s="8">
        <v>22.5</v>
      </c>
      <c r="F132" s="55" t="s">
        <v>140</v>
      </c>
      <c r="G132" s="55" t="s">
        <v>140</v>
      </c>
      <c r="H132" s="38">
        <v>0</v>
      </c>
      <c r="I132" s="8">
        <v>0.5</v>
      </c>
      <c r="J132" s="55"/>
      <c r="M132" s="8"/>
      <c r="N132" s="8"/>
      <c r="O132" s="8"/>
      <c r="P132" s="8"/>
      <c r="R132" s="18"/>
      <c r="S132" s="228">
        <v>330</v>
      </c>
      <c r="T132" s="173"/>
      <c r="U132" s="173">
        <f t="shared" si="130"/>
        <v>0</v>
      </c>
      <c r="V132" s="173"/>
      <c r="W132" s="173">
        <f t="shared" si="131"/>
        <v>0</v>
      </c>
      <c r="X132" s="173"/>
      <c r="Y132" s="173">
        <f t="shared" si="132"/>
        <v>0</v>
      </c>
      <c r="Z132" s="173"/>
      <c r="AA132" s="173">
        <f t="shared" si="133"/>
        <v>0</v>
      </c>
      <c r="AB132" s="173"/>
      <c r="AC132" s="174">
        <f t="shared" si="134"/>
        <v>0</v>
      </c>
      <c r="AE132" s="4"/>
      <c r="AF132" s="4"/>
      <c r="AG132" s="228">
        <v>330</v>
      </c>
      <c r="AH132" s="4"/>
      <c r="AI132" s="173">
        <f t="shared" si="135"/>
        <v>0</v>
      </c>
      <c r="AJ132" s="4"/>
      <c r="AK132" s="173">
        <f t="shared" si="136"/>
        <v>0</v>
      </c>
      <c r="AL132" s="4"/>
      <c r="AM132" s="4">
        <f t="shared" si="137"/>
        <v>0</v>
      </c>
      <c r="AN132" s="4"/>
      <c r="AO132" s="173">
        <f t="shared" si="138"/>
        <v>0</v>
      </c>
      <c r="AP132" s="4"/>
      <c r="AQ132" s="174">
        <f t="shared" si="139"/>
        <v>0</v>
      </c>
      <c r="AU132" s="228">
        <v>330</v>
      </c>
      <c r="AV132" s="4"/>
      <c r="AW132" s="173">
        <f t="shared" si="140"/>
        <v>0</v>
      </c>
      <c r="AX132" s="4"/>
      <c r="AY132" s="173">
        <f t="shared" si="141"/>
        <v>0</v>
      </c>
      <c r="AZ132" s="4"/>
      <c r="BA132" s="4">
        <f t="shared" si="142"/>
        <v>0</v>
      </c>
      <c r="BB132" s="4"/>
      <c r="BC132" s="173">
        <f t="shared" si="143"/>
        <v>0</v>
      </c>
      <c r="BD132" s="4"/>
      <c r="BE132" s="174">
        <f t="shared" si="144"/>
        <v>0</v>
      </c>
      <c r="BI132" s="228">
        <v>330</v>
      </c>
      <c r="BJ132" s="4"/>
      <c r="BK132" s="173">
        <f t="shared" si="145"/>
        <v>0</v>
      </c>
      <c r="BL132" s="4"/>
      <c r="BM132" s="173">
        <f t="shared" si="146"/>
        <v>0</v>
      </c>
      <c r="BN132" s="4"/>
      <c r="BO132" s="4">
        <f t="shared" si="147"/>
        <v>0</v>
      </c>
      <c r="BP132" s="4"/>
      <c r="BQ132" s="173">
        <f t="shared" si="148"/>
        <v>0</v>
      </c>
      <c r="BR132" s="4"/>
      <c r="BS132" s="174">
        <f t="shared" si="149"/>
        <v>0</v>
      </c>
    </row>
    <row r="133" spans="1:71" x14ac:dyDescent="0.35">
      <c r="A133" s="28" t="s">
        <v>1055</v>
      </c>
      <c r="B133" s="29" t="s">
        <v>123</v>
      </c>
      <c r="C133" s="39">
        <f>15</f>
        <v>15</v>
      </c>
      <c r="D133" s="54">
        <f>20</f>
        <v>20</v>
      </c>
      <c r="E133" s="10">
        <v>22</v>
      </c>
      <c r="F133" s="56" t="s">
        <v>140</v>
      </c>
      <c r="G133" s="56" t="s">
        <v>140</v>
      </c>
      <c r="H133" s="42">
        <v>3</v>
      </c>
      <c r="I133" s="8">
        <v>0.5</v>
      </c>
      <c r="J133" s="56"/>
      <c r="M133" s="8"/>
      <c r="N133" s="8"/>
      <c r="O133" s="8"/>
      <c r="P133" s="8"/>
      <c r="R133" s="18"/>
      <c r="S133" s="228">
        <v>340</v>
      </c>
      <c r="T133" s="173"/>
      <c r="U133" s="173">
        <f t="shared" si="130"/>
        <v>0</v>
      </c>
      <c r="V133" s="173"/>
      <c r="W133" s="173">
        <f t="shared" si="131"/>
        <v>0</v>
      </c>
      <c r="X133" s="173"/>
      <c r="Y133" s="173">
        <f t="shared" si="132"/>
        <v>0</v>
      </c>
      <c r="Z133" s="173"/>
      <c r="AA133" s="173">
        <f t="shared" si="133"/>
        <v>0</v>
      </c>
      <c r="AB133" s="173"/>
      <c r="AC133" s="174">
        <f t="shared" si="134"/>
        <v>0</v>
      </c>
      <c r="AE133" s="4"/>
      <c r="AF133" s="4"/>
      <c r="AG133" s="228">
        <v>340</v>
      </c>
      <c r="AH133" s="4"/>
      <c r="AI133" s="173">
        <f t="shared" si="135"/>
        <v>0</v>
      </c>
      <c r="AJ133" s="4"/>
      <c r="AK133" s="173">
        <f t="shared" si="136"/>
        <v>0</v>
      </c>
      <c r="AL133" s="4"/>
      <c r="AM133" s="4">
        <f t="shared" si="137"/>
        <v>0</v>
      </c>
      <c r="AN133" s="4"/>
      <c r="AO133" s="173">
        <f t="shared" si="138"/>
        <v>0</v>
      </c>
      <c r="AP133" s="4"/>
      <c r="AQ133" s="174">
        <f t="shared" si="139"/>
        <v>0</v>
      </c>
      <c r="AU133" s="228">
        <v>340</v>
      </c>
      <c r="AV133" s="4"/>
      <c r="AW133" s="173">
        <f t="shared" si="140"/>
        <v>0</v>
      </c>
      <c r="AX133" s="4"/>
      <c r="AY133" s="173">
        <f t="shared" si="141"/>
        <v>0</v>
      </c>
      <c r="AZ133" s="4"/>
      <c r="BA133" s="4">
        <f t="shared" si="142"/>
        <v>0</v>
      </c>
      <c r="BB133" s="4"/>
      <c r="BC133" s="173">
        <f t="shared" si="143"/>
        <v>0</v>
      </c>
      <c r="BD133" s="4"/>
      <c r="BE133" s="174">
        <f t="shared" si="144"/>
        <v>0</v>
      </c>
      <c r="BI133" s="228">
        <v>340</v>
      </c>
      <c r="BJ133" s="4"/>
      <c r="BK133" s="173">
        <f t="shared" si="145"/>
        <v>0</v>
      </c>
      <c r="BL133" s="4"/>
      <c r="BM133" s="173">
        <f t="shared" si="146"/>
        <v>0</v>
      </c>
      <c r="BN133" s="4"/>
      <c r="BO133" s="4">
        <f t="shared" si="147"/>
        <v>0</v>
      </c>
      <c r="BP133" s="4"/>
      <c r="BQ133" s="173">
        <f t="shared" si="148"/>
        <v>0</v>
      </c>
      <c r="BR133" s="4"/>
      <c r="BS133" s="174">
        <f t="shared" si="149"/>
        <v>0</v>
      </c>
    </row>
    <row r="134" spans="1:71" x14ac:dyDescent="0.35">
      <c r="A134" s="367" t="s">
        <v>29</v>
      </c>
      <c r="B134" s="351"/>
      <c r="C134" s="43" t="s">
        <v>56</v>
      </c>
      <c r="D134" s="24"/>
      <c r="E134" s="24"/>
      <c r="F134" s="24"/>
      <c r="G134" s="24"/>
      <c r="H134" s="24"/>
      <c r="I134" s="24"/>
      <c r="J134" s="24"/>
      <c r="K134" s="7"/>
      <c r="L134" s="4"/>
      <c r="M134" s="4"/>
      <c r="N134" s="4"/>
      <c r="O134" s="4"/>
      <c r="P134" s="4"/>
      <c r="Q134" s="8"/>
      <c r="S134" s="228">
        <v>350</v>
      </c>
      <c r="T134" s="173"/>
      <c r="U134" s="173">
        <f t="shared" si="130"/>
        <v>0</v>
      </c>
      <c r="V134" s="173"/>
      <c r="W134" s="173">
        <f t="shared" si="131"/>
        <v>0</v>
      </c>
      <c r="X134" s="173"/>
      <c r="Y134" s="173">
        <f t="shared" si="132"/>
        <v>0</v>
      </c>
      <c r="Z134" s="173"/>
      <c r="AA134" s="173">
        <f t="shared" si="133"/>
        <v>0</v>
      </c>
      <c r="AB134" s="173"/>
      <c r="AC134" s="174">
        <f t="shared" si="134"/>
        <v>0</v>
      </c>
      <c r="AE134" s="4"/>
      <c r="AF134" s="4"/>
      <c r="AG134" s="228">
        <v>350</v>
      </c>
      <c r="AH134" s="4"/>
      <c r="AI134" s="173">
        <f t="shared" si="135"/>
        <v>0</v>
      </c>
      <c r="AJ134" s="4"/>
      <c r="AK134" s="173">
        <f t="shared" si="136"/>
        <v>0</v>
      </c>
      <c r="AL134" s="4"/>
      <c r="AM134" s="4">
        <f t="shared" si="137"/>
        <v>0</v>
      </c>
      <c r="AN134" s="4"/>
      <c r="AO134" s="173">
        <f t="shared" si="138"/>
        <v>0</v>
      </c>
      <c r="AP134" s="4"/>
      <c r="AQ134" s="174">
        <f t="shared" si="139"/>
        <v>0</v>
      </c>
      <c r="AU134" s="228">
        <v>350</v>
      </c>
      <c r="AV134" s="4"/>
      <c r="AW134" s="173">
        <f t="shared" si="140"/>
        <v>0</v>
      </c>
      <c r="AX134" s="4"/>
      <c r="AY134" s="173">
        <f t="shared" si="141"/>
        <v>0</v>
      </c>
      <c r="AZ134" s="4"/>
      <c r="BA134" s="4">
        <f t="shared" si="142"/>
        <v>0</v>
      </c>
      <c r="BB134" s="4"/>
      <c r="BC134" s="173">
        <f t="shared" si="143"/>
        <v>0</v>
      </c>
      <c r="BD134" s="4"/>
      <c r="BE134" s="174">
        <f t="shared" si="144"/>
        <v>0</v>
      </c>
      <c r="BI134" s="228">
        <v>350</v>
      </c>
      <c r="BJ134" s="4"/>
      <c r="BK134" s="173">
        <f t="shared" si="145"/>
        <v>0</v>
      </c>
      <c r="BL134" s="4"/>
      <c r="BM134" s="173">
        <f t="shared" si="146"/>
        <v>0</v>
      </c>
      <c r="BN134" s="4"/>
      <c r="BO134" s="4">
        <f t="shared" si="147"/>
        <v>0</v>
      </c>
      <c r="BP134" s="4"/>
      <c r="BQ134" s="173">
        <f t="shared" si="148"/>
        <v>0</v>
      </c>
      <c r="BR134" s="4"/>
      <c r="BS134" s="174">
        <f t="shared" si="149"/>
        <v>0</v>
      </c>
    </row>
    <row r="135" spans="1:71" x14ac:dyDescent="0.35">
      <c r="A135" s="12" t="s">
        <v>31</v>
      </c>
      <c r="B135" s="29" t="s">
        <v>128</v>
      </c>
      <c r="C135" s="30">
        <v>609.6</v>
      </c>
      <c r="D135" s="51"/>
      <c r="E135" s="4"/>
      <c r="F135" s="4"/>
      <c r="G135" s="4"/>
      <c r="H135" s="4"/>
      <c r="I135" s="4"/>
      <c r="J135" s="4"/>
      <c r="K135" s="2"/>
      <c r="L135" s="4"/>
      <c r="M135" s="4"/>
      <c r="N135" s="4"/>
      <c r="O135" s="4"/>
      <c r="P135" s="4"/>
      <c r="Q135" s="8"/>
      <c r="S135" s="228">
        <v>360</v>
      </c>
      <c r="T135" s="173"/>
      <c r="U135" s="173">
        <f t="shared" si="130"/>
        <v>0</v>
      </c>
      <c r="V135" s="173"/>
      <c r="W135" s="173">
        <f t="shared" si="131"/>
        <v>0</v>
      </c>
      <c r="X135" s="173"/>
      <c r="Y135" s="173">
        <f t="shared" si="132"/>
        <v>0</v>
      </c>
      <c r="Z135" s="173"/>
      <c r="AA135" s="173">
        <f t="shared" si="133"/>
        <v>0</v>
      </c>
      <c r="AB135" s="173"/>
      <c r="AC135" s="174">
        <f t="shared" si="134"/>
        <v>0</v>
      </c>
      <c r="AG135" s="228">
        <v>360</v>
      </c>
      <c r="AH135" s="4"/>
      <c r="AI135" s="173">
        <f t="shared" si="135"/>
        <v>0</v>
      </c>
      <c r="AJ135" s="4"/>
      <c r="AK135" s="173">
        <f t="shared" si="136"/>
        <v>0</v>
      </c>
      <c r="AL135" s="4"/>
      <c r="AM135" s="4">
        <f t="shared" si="137"/>
        <v>0</v>
      </c>
      <c r="AN135" s="4"/>
      <c r="AO135" s="173">
        <f t="shared" si="138"/>
        <v>0</v>
      </c>
      <c r="AP135" s="4"/>
      <c r="AQ135" s="174">
        <f t="shared" si="139"/>
        <v>0</v>
      </c>
      <c r="AU135" s="228">
        <v>360</v>
      </c>
      <c r="AV135" s="4"/>
      <c r="AW135" s="173">
        <f t="shared" si="140"/>
        <v>0</v>
      </c>
      <c r="AX135" s="4"/>
      <c r="AY135" s="173">
        <f t="shared" si="141"/>
        <v>0</v>
      </c>
      <c r="AZ135" s="4"/>
      <c r="BA135" s="4">
        <f t="shared" si="142"/>
        <v>0</v>
      </c>
      <c r="BB135" s="4"/>
      <c r="BC135" s="173">
        <f t="shared" si="143"/>
        <v>0</v>
      </c>
      <c r="BD135" s="4"/>
      <c r="BE135" s="174">
        <f t="shared" si="144"/>
        <v>0</v>
      </c>
      <c r="BI135" s="228">
        <v>360</v>
      </c>
      <c r="BJ135" s="4"/>
      <c r="BK135" s="173">
        <f t="shared" si="145"/>
        <v>0</v>
      </c>
      <c r="BL135" s="4"/>
      <c r="BM135" s="173">
        <f t="shared" si="146"/>
        <v>0</v>
      </c>
      <c r="BN135" s="4"/>
      <c r="BO135" s="4">
        <f t="shared" si="147"/>
        <v>0</v>
      </c>
      <c r="BP135" s="4"/>
      <c r="BQ135" s="173">
        <f t="shared" si="148"/>
        <v>0</v>
      </c>
      <c r="BR135" s="4"/>
      <c r="BS135" s="174">
        <f t="shared" si="149"/>
        <v>0</v>
      </c>
    </row>
    <row r="136" spans="1:71" x14ac:dyDescent="0.35">
      <c r="A136" s="12" t="s">
        <v>32</v>
      </c>
      <c r="B136" s="29" t="s">
        <v>129</v>
      </c>
      <c r="C136" s="30">
        <v>635</v>
      </c>
      <c r="D136" s="51"/>
      <c r="E136" s="4"/>
      <c r="F136" s="4"/>
      <c r="G136" s="4"/>
      <c r="H136" s="4"/>
      <c r="I136" s="4"/>
      <c r="J136" s="4"/>
      <c r="K136" s="2"/>
      <c r="L136" s="4"/>
      <c r="M136" s="4"/>
      <c r="N136" s="4"/>
      <c r="O136" s="4"/>
      <c r="P136" s="4"/>
      <c r="Q136" s="4"/>
      <c r="S136" s="228">
        <v>370</v>
      </c>
      <c r="T136" s="173"/>
      <c r="U136" s="173">
        <f t="shared" si="130"/>
        <v>0</v>
      </c>
      <c r="V136" s="173"/>
      <c r="W136" s="173">
        <f t="shared" si="131"/>
        <v>0</v>
      </c>
      <c r="X136" s="173"/>
      <c r="Y136" s="173">
        <f t="shared" si="132"/>
        <v>0</v>
      </c>
      <c r="Z136" s="173"/>
      <c r="AA136" s="173">
        <f t="shared" si="133"/>
        <v>0</v>
      </c>
      <c r="AB136" s="173"/>
      <c r="AC136" s="174">
        <f t="shared" si="134"/>
        <v>0</v>
      </c>
      <c r="AG136" s="228">
        <v>370</v>
      </c>
      <c r="AH136" s="4"/>
      <c r="AI136" s="173">
        <f t="shared" si="135"/>
        <v>0</v>
      </c>
      <c r="AJ136" s="4"/>
      <c r="AK136" s="173">
        <f t="shared" si="136"/>
        <v>0</v>
      </c>
      <c r="AL136" s="4"/>
      <c r="AM136" s="4">
        <f t="shared" si="137"/>
        <v>0</v>
      </c>
      <c r="AN136" s="4"/>
      <c r="AO136" s="173">
        <f t="shared" si="138"/>
        <v>0</v>
      </c>
      <c r="AP136" s="4"/>
      <c r="AQ136" s="174">
        <f t="shared" si="139"/>
        <v>0</v>
      </c>
      <c r="AU136" s="228">
        <v>370</v>
      </c>
      <c r="AV136" s="4"/>
      <c r="AW136" s="173">
        <f t="shared" si="140"/>
        <v>0</v>
      </c>
      <c r="AX136" s="4"/>
      <c r="AY136" s="173">
        <f t="shared" si="141"/>
        <v>0</v>
      </c>
      <c r="AZ136" s="4"/>
      <c r="BA136" s="4">
        <f t="shared" si="142"/>
        <v>0</v>
      </c>
      <c r="BB136" s="4"/>
      <c r="BC136" s="173">
        <f t="shared" si="143"/>
        <v>0</v>
      </c>
      <c r="BD136" s="4"/>
      <c r="BE136" s="174">
        <f t="shared" si="144"/>
        <v>0</v>
      </c>
      <c r="BI136" s="228">
        <v>370</v>
      </c>
      <c r="BJ136" s="4"/>
      <c r="BK136" s="173">
        <f t="shared" si="145"/>
        <v>0</v>
      </c>
      <c r="BL136" s="4"/>
      <c r="BM136" s="173">
        <f t="shared" si="146"/>
        <v>0</v>
      </c>
      <c r="BN136" s="4"/>
      <c r="BO136" s="4">
        <f t="shared" si="147"/>
        <v>0</v>
      </c>
      <c r="BP136" s="4"/>
      <c r="BQ136" s="173">
        <f t="shared" si="148"/>
        <v>0</v>
      </c>
      <c r="BR136" s="4"/>
      <c r="BS136" s="174">
        <f t="shared" si="149"/>
        <v>0</v>
      </c>
    </row>
    <row r="137" spans="1:71" x14ac:dyDescent="0.35">
      <c r="A137" s="14" t="s">
        <v>33</v>
      </c>
      <c r="B137" s="34" t="s">
        <v>130</v>
      </c>
      <c r="C137" s="39">
        <v>660.4</v>
      </c>
      <c r="D137" s="52"/>
      <c r="E137" s="5"/>
      <c r="F137" s="5"/>
      <c r="G137" s="5"/>
      <c r="H137" s="5"/>
      <c r="I137" s="5"/>
      <c r="J137" s="5"/>
      <c r="K137" s="3"/>
      <c r="L137" s="4"/>
      <c r="M137" s="4"/>
      <c r="N137" s="4"/>
      <c r="O137" s="4"/>
      <c r="P137" s="4"/>
      <c r="Q137" s="4"/>
      <c r="S137" s="228">
        <v>380</v>
      </c>
      <c r="T137" s="173"/>
      <c r="U137" s="173">
        <f t="shared" si="130"/>
        <v>0</v>
      </c>
      <c r="V137" s="173"/>
      <c r="W137" s="173">
        <f t="shared" si="131"/>
        <v>0</v>
      </c>
      <c r="X137" s="173"/>
      <c r="Y137" s="173">
        <f t="shared" si="132"/>
        <v>0</v>
      </c>
      <c r="Z137" s="173"/>
      <c r="AA137" s="173">
        <f t="shared" si="133"/>
        <v>0</v>
      </c>
      <c r="AB137" s="173"/>
      <c r="AC137" s="174">
        <f t="shared" si="134"/>
        <v>0</v>
      </c>
      <c r="AG137" s="228">
        <v>380</v>
      </c>
      <c r="AH137" s="4"/>
      <c r="AI137" s="173">
        <f t="shared" si="135"/>
        <v>0</v>
      </c>
      <c r="AJ137" s="4"/>
      <c r="AK137" s="173">
        <f t="shared" si="136"/>
        <v>0</v>
      </c>
      <c r="AL137" s="4"/>
      <c r="AM137" s="4">
        <f t="shared" si="137"/>
        <v>0</v>
      </c>
      <c r="AN137" s="4"/>
      <c r="AO137" s="173">
        <f t="shared" si="138"/>
        <v>0</v>
      </c>
      <c r="AP137" s="4"/>
      <c r="AQ137" s="174">
        <f t="shared" si="139"/>
        <v>0</v>
      </c>
      <c r="AU137" s="228">
        <v>380</v>
      </c>
      <c r="AV137" s="4"/>
      <c r="AW137" s="173">
        <f t="shared" si="140"/>
        <v>0</v>
      </c>
      <c r="AX137" s="4"/>
      <c r="AY137" s="173">
        <f t="shared" si="141"/>
        <v>0</v>
      </c>
      <c r="AZ137" s="4"/>
      <c r="BA137" s="4">
        <f t="shared" si="142"/>
        <v>0</v>
      </c>
      <c r="BB137" s="4"/>
      <c r="BC137" s="173">
        <f t="shared" si="143"/>
        <v>0</v>
      </c>
      <c r="BD137" s="4"/>
      <c r="BE137" s="174">
        <f t="shared" si="144"/>
        <v>0</v>
      </c>
      <c r="BI137" s="228">
        <v>380</v>
      </c>
      <c r="BJ137" s="4"/>
      <c r="BK137" s="173">
        <f t="shared" si="145"/>
        <v>0</v>
      </c>
      <c r="BL137" s="4"/>
      <c r="BM137" s="173">
        <f t="shared" si="146"/>
        <v>0</v>
      </c>
      <c r="BN137" s="4"/>
      <c r="BO137" s="4">
        <f t="shared" si="147"/>
        <v>0</v>
      </c>
      <c r="BP137" s="4"/>
      <c r="BQ137" s="173">
        <f t="shared" si="148"/>
        <v>0</v>
      </c>
      <c r="BR137" s="4"/>
      <c r="BS137" s="174">
        <f t="shared" si="149"/>
        <v>0</v>
      </c>
    </row>
    <row r="138" spans="1:71" x14ac:dyDescent="0.35">
      <c r="A138" s="367" t="s">
        <v>38</v>
      </c>
      <c r="B138" s="351"/>
      <c r="C138" s="43" t="s">
        <v>60</v>
      </c>
      <c r="D138" s="24"/>
      <c r="E138" s="24"/>
      <c r="F138" s="24"/>
      <c r="G138" s="24"/>
      <c r="H138" s="24"/>
      <c r="I138" s="24"/>
      <c r="J138" s="24"/>
      <c r="K138" s="7"/>
      <c r="L138" s="4"/>
      <c r="M138" s="4"/>
      <c r="N138" s="4"/>
      <c r="O138" s="4"/>
      <c r="P138" s="4"/>
      <c r="Q138" s="4"/>
      <c r="S138" s="228">
        <v>390</v>
      </c>
      <c r="T138" s="173"/>
      <c r="U138" s="173">
        <f t="shared" si="130"/>
        <v>0</v>
      </c>
      <c r="V138" s="173"/>
      <c r="W138" s="173">
        <f t="shared" si="131"/>
        <v>0</v>
      </c>
      <c r="X138" s="173"/>
      <c r="Y138" s="173">
        <f t="shared" si="132"/>
        <v>0</v>
      </c>
      <c r="Z138" s="173"/>
      <c r="AA138" s="173">
        <f t="shared" si="133"/>
        <v>0</v>
      </c>
      <c r="AB138" s="173"/>
      <c r="AC138" s="174">
        <f t="shared" si="134"/>
        <v>0</v>
      </c>
      <c r="AG138" s="228">
        <v>390</v>
      </c>
      <c r="AH138" s="4"/>
      <c r="AI138" s="173">
        <f t="shared" si="135"/>
        <v>0</v>
      </c>
      <c r="AJ138" s="4"/>
      <c r="AK138" s="173">
        <f t="shared" si="136"/>
        <v>0</v>
      </c>
      <c r="AL138" s="4"/>
      <c r="AM138" s="173">
        <f t="shared" si="137"/>
        <v>0</v>
      </c>
      <c r="AN138" s="4"/>
      <c r="AO138" s="173">
        <f t="shared" si="138"/>
        <v>0</v>
      </c>
      <c r="AP138" s="4"/>
      <c r="AQ138" s="174">
        <f t="shared" si="139"/>
        <v>0</v>
      </c>
      <c r="AU138" s="228">
        <v>390</v>
      </c>
      <c r="AV138" s="4"/>
      <c r="AW138" s="173">
        <f t="shared" si="140"/>
        <v>0</v>
      </c>
      <c r="AX138" s="4"/>
      <c r="AY138" s="173">
        <f t="shared" si="141"/>
        <v>0</v>
      </c>
      <c r="AZ138" s="4"/>
      <c r="BA138" s="173">
        <f t="shared" si="142"/>
        <v>0</v>
      </c>
      <c r="BB138" s="4"/>
      <c r="BC138" s="173">
        <f t="shared" si="143"/>
        <v>0</v>
      </c>
      <c r="BD138" s="4"/>
      <c r="BE138" s="174">
        <f t="shared" si="144"/>
        <v>0</v>
      </c>
      <c r="BI138" s="228">
        <v>390</v>
      </c>
      <c r="BJ138" s="4"/>
      <c r="BK138" s="173">
        <f t="shared" si="145"/>
        <v>0</v>
      </c>
      <c r="BL138" s="4"/>
      <c r="BM138" s="173">
        <f t="shared" si="146"/>
        <v>0</v>
      </c>
      <c r="BN138" s="4"/>
      <c r="BO138" s="173">
        <f t="shared" si="147"/>
        <v>0</v>
      </c>
      <c r="BP138" s="4"/>
      <c r="BQ138" s="173">
        <f t="shared" si="148"/>
        <v>0</v>
      </c>
      <c r="BR138" s="4"/>
      <c r="BS138" s="174">
        <f t="shared" si="149"/>
        <v>0</v>
      </c>
    </row>
    <row r="139" spans="1:71" x14ac:dyDescent="0.35">
      <c r="A139" s="12" t="s">
        <v>1028</v>
      </c>
      <c r="B139" s="29" t="s">
        <v>124</v>
      </c>
      <c r="C139" s="30">
        <f>(53/2)*2</f>
        <v>53</v>
      </c>
      <c r="D139" s="49"/>
      <c r="E139" s="4"/>
      <c r="F139" s="4"/>
      <c r="G139" s="4"/>
      <c r="H139" s="4"/>
      <c r="I139" s="4"/>
      <c r="J139" s="4"/>
      <c r="K139" s="2"/>
      <c r="L139" s="4"/>
      <c r="M139" s="4"/>
      <c r="N139" s="4"/>
      <c r="O139" s="4"/>
      <c r="P139" s="4"/>
      <c r="Q139" s="4"/>
      <c r="S139" s="228">
        <v>400</v>
      </c>
      <c r="T139" s="173"/>
      <c r="U139" s="173">
        <f t="shared" si="130"/>
        <v>0</v>
      </c>
      <c r="V139" s="173"/>
      <c r="W139" s="173">
        <f t="shared" si="131"/>
        <v>0</v>
      </c>
      <c r="X139" s="173"/>
      <c r="Y139" s="173">
        <f t="shared" si="132"/>
        <v>0</v>
      </c>
      <c r="Z139" s="173"/>
      <c r="AA139" s="173">
        <f t="shared" si="133"/>
        <v>0</v>
      </c>
      <c r="AB139" s="173"/>
      <c r="AC139" s="174">
        <f t="shared" si="134"/>
        <v>0</v>
      </c>
      <c r="AG139" s="228">
        <v>400</v>
      </c>
      <c r="AH139" s="4"/>
      <c r="AI139" s="173">
        <f t="shared" si="135"/>
        <v>0</v>
      </c>
      <c r="AJ139" s="4"/>
      <c r="AK139" s="173">
        <f t="shared" si="136"/>
        <v>0</v>
      </c>
      <c r="AL139" s="4"/>
      <c r="AM139" s="173">
        <f t="shared" si="137"/>
        <v>0</v>
      </c>
      <c r="AN139" s="4"/>
      <c r="AO139" s="173">
        <f t="shared" si="138"/>
        <v>0</v>
      </c>
      <c r="AP139" s="4"/>
      <c r="AQ139" s="174">
        <f t="shared" si="139"/>
        <v>0</v>
      </c>
      <c r="AU139" s="228">
        <v>400</v>
      </c>
      <c r="AV139" s="4"/>
      <c r="AW139" s="173">
        <f t="shared" si="140"/>
        <v>0</v>
      </c>
      <c r="AX139" s="4"/>
      <c r="AY139" s="173">
        <f t="shared" si="141"/>
        <v>0</v>
      </c>
      <c r="AZ139" s="4"/>
      <c r="BA139" s="173">
        <f t="shared" si="142"/>
        <v>0</v>
      </c>
      <c r="BB139" s="4"/>
      <c r="BC139" s="173">
        <f t="shared" si="143"/>
        <v>0</v>
      </c>
      <c r="BD139" s="4"/>
      <c r="BE139" s="174">
        <f t="shared" si="144"/>
        <v>0</v>
      </c>
      <c r="BI139" s="228">
        <v>400</v>
      </c>
      <c r="BJ139" s="4"/>
      <c r="BK139" s="173">
        <f t="shared" si="145"/>
        <v>0</v>
      </c>
      <c r="BL139" s="4"/>
      <c r="BM139" s="173">
        <f t="shared" si="146"/>
        <v>0</v>
      </c>
      <c r="BN139" s="4"/>
      <c r="BO139" s="173">
        <f t="shared" si="147"/>
        <v>0</v>
      </c>
      <c r="BP139" s="4"/>
      <c r="BQ139" s="173">
        <f t="shared" si="148"/>
        <v>0</v>
      </c>
      <c r="BR139" s="4"/>
      <c r="BS139" s="174">
        <f t="shared" si="149"/>
        <v>0</v>
      </c>
    </row>
    <row r="140" spans="1:71" x14ac:dyDescent="0.35">
      <c r="A140" s="12" t="s">
        <v>39</v>
      </c>
      <c r="B140" s="29" t="s">
        <v>125</v>
      </c>
      <c r="C140" s="30">
        <f>(53/2)*2</f>
        <v>53</v>
      </c>
      <c r="D140" s="49"/>
      <c r="E140" s="4"/>
      <c r="F140" s="4"/>
      <c r="G140" s="4"/>
      <c r="H140" s="4"/>
      <c r="I140" s="4"/>
      <c r="J140" s="4"/>
      <c r="K140" s="2"/>
      <c r="L140" s="4"/>
      <c r="M140" s="4"/>
      <c r="N140" s="4"/>
      <c r="O140" s="4"/>
      <c r="P140" s="4"/>
      <c r="Q140" s="4"/>
      <c r="S140" s="228">
        <v>410</v>
      </c>
      <c r="T140" s="173"/>
      <c r="U140" s="173">
        <f t="shared" si="130"/>
        <v>0</v>
      </c>
      <c r="V140" s="173"/>
      <c r="W140" s="173">
        <f t="shared" si="131"/>
        <v>0</v>
      </c>
      <c r="X140" s="173"/>
      <c r="Y140" s="173">
        <f t="shared" si="132"/>
        <v>0</v>
      </c>
      <c r="Z140" s="173"/>
      <c r="AA140" s="173">
        <f t="shared" si="133"/>
        <v>0</v>
      </c>
      <c r="AB140" s="173"/>
      <c r="AC140" s="174">
        <f t="shared" si="134"/>
        <v>0</v>
      </c>
      <c r="AG140" s="228">
        <v>410</v>
      </c>
      <c r="AH140" s="4"/>
      <c r="AI140" s="173">
        <f t="shared" si="135"/>
        <v>0</v>
      </c>
      <c r="AJ140" s="4"/>
      <c r="AK140" s="173">
        <f t="shared" si="136"/>
        <v>0</v>
      </c>
      <c r="AL140" s="4"/>
      <c r="AM140" s="173">
        <f t="shared" si="137"/>
        <v>0</v>
      </c>
      <c r="AN140" s="4"/>
      <c r="AO140" s="4">
        <f t="shared" si="138"/>
        <v>0</v>
      </c>
      <c r="AP140" s="4"/>
      <c r="AQ140" s="174">
        <f t="shared" si="139"/>
        <v>0</v>
      </c>
      <c r="AU140" s="228">
        <v>410</v>
      </c>
      <c r="AV140" s="4"/>
      <c r="AW140" s="173">
        <f t="shared" si="140"/>
        <v>0</v>
      </c>
      <c r="AX140" s="4"/>
      <c r="AY140" s="173">
        <f t="shared" si="141"/>
        <v>0</v>
      </c>
      <c r="AZ140" s="4"/>
      <c r="BA140" s="173">
        <f t="shared" si="142"/>
        <v>0</v>
      </c>
      <c r="BB140" s="4"/>
      <c r="BC140" s="4">
        <f t="shared" si="143"/>
        <v>0</v>
      </c>
      <c r="BD140" s="4"/>
      <c r="BE140" s="174">
        <f t="shared" si="144"/>
        <v>0</v>
      </c>
      <c r="BI140" s="228">
        <v>410</v>
      </c>
      <c r="BJ140" s="4"/>
      <c r="BK140" s="173">
        <f t="shared" si="145"/>
        <v>0</v>
      </c>
      <c r="BL140" s="4"/>
      <c r="BM140" s="173">
        <f t="shared" si="146"/>
        <v>0</v>
      </c>
      <c r="BN140" s="4"/>
      <c r="BO140" s="173">
        <f t="shared" si="147"/>
        <v>0</v>
      </c>
      <c r="BP140" s="4"/>
      <c r="BQ140" s="4">
        <f t="shared" si="148"/>
        <v>0</v>
      </c>
      <c r="BR140" s="4"/>
      <c r="BS140" s="174">
        <f t="shared" si="149"/>
        <v>0</v>
      </c>
    </row>
    <row r="141" spans="1:71" x14ac:dyDescent="0.35">
      <c r="A141" s="12" t="s">
        <v>1029</v>
      </c>
      <c r="B141" s="29" t="s">
        <v>126</v>
      </c>
      <c r="C141" s="30">
        <f>(53/2)*2</f>
        <v>53</v>
      </c>
      <c r="D141" s="49"/>
      <c r="E141" s="4"/>
      <c r="F141" s="4"/>
      <c r="G141" s="4"/>
      <c r="H141" s="4"/>
      <c r="I141" s="4"/>
      <c r="J141" s="4"/>
      <c r="K141" s="2"/>
      <c r="L141" s="4"/>
      <c r="M141" s="4"/>
      <c r="N141" s="4"/>
      <c r="O141" s="4"/>
      <c r="P141" s="4"/>
      <c r="Q141" s="4"/>
      <c r="S141" s="228">
        <v>420</v>
      </c>
      <c r="T141" s="173"/>
      <c r="U141" s="173">
        <f t="shared" si="130"/>
        <v>0</v>
      </c>
      <c r="V141" s="173"/>
      <c r="W141" s="173">
        <f t="shared" si="131"/>
        <v>0</v>
      </c>
      <c r="X141" s="173"/>
      <c r="Y141" s="173">
        <f t="shared" si="132"/>
        <v>0</v>
      </c>
      <c r="Z141" s="173"/>
      <c r="AA141" s="173">
        <f t="shared" si="133"/>
        <v>0</v>
      </c>
      <c r="AB141" s="173"/>
      <c r="AC141" s="174">
        <f t="shared" si="134"/>
        <v>0</v>
      </c>
      <c r="AG141" s="228">
        <v>420</v>
      </c>
      <c r="AH141" s="4"/>
      <c r="AI141" s="4">
        <f t="shared" si="135"/>
        <v>0</v>
      </c>
      <c r="AJ141" s="4"/>
      <c r="AK141" s="173">
        <f t="shared" si="136"/>
        <v>0</v>
      </c>
      <c r="AL141" s="4"/>
      <c r="AM141" s="173">
        <f t="shared" si="137"/>
        <v>0</v>
      </c>
      <c r="AN141" s="4"/>
      <c r="AO141" s="173">
        <f t="shared" si="138"/>
        <v>0</v>
      </c>
      <c r="AP141" s="4"/>
      <c r="AQ141" s="174">
        <f t="shared" si="139"/>
        <v>0</v>
      </c>
      <c r="AU141" s="228">
        <v>420</v>
      </c>
      <c r="AV141" s="4"/>
      <c r="AW141" s="4">
        <f t="shared" si="140"/>
        <v>0</v>
      </c>
      <c r="AX141" s="4"/>
      <c r="AY141" s="173">
        <f t="shared" si="141"/>
        <v>0</v>
      </c>
      <c r="AZ141" s="4"/>
      <c r="BA141" s="173">
        <f t="shared" si="142"/>
        <v>0</v>
      </c>
      <c r="BB141" s="4"/>
      <c r="BC141" s="173">
        <f t="shared" si="143"/>
        <v>0</v>
      </c>
      <c r="BD141" s="4"/>
      <c r="BE141" s="174">
        <f t="shared" si="144"/>
        <v>0</v>
      </c>
      <c r="BI141" s="228">
        <v>420</v>
      </c>
      <c r="BJ141" s="4"/>
      <c r="BK141" s="4">
        <f t="shared" si="145"/>
        <v>0</v>
      </c>
      <c r="BL141" s="4"/>
      <c r="BM141" s="173">
        <f t="shared" si="146"/>
        <v>0</v>
      </c>
      <c r="BN141" s="4"/>
      <c r="BO141" s="173">
        <f t="shared" si="147"/>
        <v>0</v>
      </c>
      <c r="BP141" s="4"/>
      <c r="BQ141" s="173">
        <f t="shared" si="148"/>
        <v>0</v>
      </c>
      <c r="BR141" s="4"/>
      <c r="BS141" s="174">
        <f t="shared" si="149"/>
        <v>0</v>
      </c>
    </row>
    <row r="142" spans="1:71" x14ac:dyDescent="0.35">
      <c r="A142" s="14" t="s">
        <v>40</v>
      </c>
      <c r="B142" s="34" t="s">
        <v>127</v>
      </c>
      <c r="C142" s="39">
        <v>62</v>
      </c>
      <c r="D142" s="50"/>
      <c r="E142" s="5"/>
      <c r="F142" s="5"/>
      <c r="G142" s="5"/>
      <c r="H142" s="5"/>
      <c r="I142" s="5"/>
      <c r="J142" s="5"/>
      <c r="K142" s="3"/>
      <c r="L142" s="4"/>
      <c r="M142" s="4"/>
      <c r="N142" s="4"/>
      <c r="O142" s="4"/>
      <c r="P142" s="4"/>
      <c r="Q142" s="4"/>
      <c r="S142" s="228">
        <v>430</v>
      </c>
      <c r="T142" s="173"/>
      <c r="U142" s="173">
        <f t="shared" si="130"/>
        <v>0</v>
      </c>
      <c r="V142" s="173"/>
      <c r="W142" s="173">
        <f t="shared" si="131"/>
        <v>0</v>
      </c>
      <c r="X142" s="173"/>
      <c r="Y142" s="173">
        <f t="shared" si="132"/>
        <v>0</v>
      </c>
      <c r="Z142" s="173"/>
      <c r="AA142" s="173">
        <f t="shared" si="133"/>
        <v>0</v>
      </c>
      <c r="AB142" s="173"/>
      <c r="AC142" s="174">
        <f t="shared" si="134"/>
        <v>0</v>
      </c>
      <c r="AG142" s="228">
        <v>430</v>
      </c>
      <c r="AH142" s="4"/>
      <c r="AI142" s="4">
        <f t="shared" si="135"/>
        <v>0</v>
      </c>
      <c r="AJ142" s="4"/>
      <c r="AK142" s="173">
        <f t="shared" si="136"/>
        <v>0</v>
      </c>
      <c r="AL142" s="4"/>
      <c r="AM142" s="173">
        <f t="shared" si="137"/>
        <v>0</v>
      </c>
      <c r="AN142" s="4"/>
      <c r="AO142" s="173">
        <f t="shared" si="138"/>
        <v>0</v>
      </c>
      <c r="AP142" s="4"/>
      <c r="AQ142" s="174">
        <f t="shared" si="139"/>
        <v>0</v>
      </c>
      <c r="AU142" s="228">
        <v>430</v>
      </c>
      <c r="AV142" s="4"/>
      <c r="AW142" s="4">
        <f t="shared" si="140"/>
        <v>0</v>
      </c>
      <c r="AX142" s="4"/>
      <c r="AY142" s="173">
        <f t="shared" si="141"/>
        <v>0</v>
      </c>
      <c r="AZ142" s="4"/>
      <c r="BA142" s="173">
        <f t="shared" si="142"/>
        <v>0</v>
      </c>
      <c r="BB142" s="4"/>
      <c r="BC142" s="173">
        <f t="shared" si="143"/>
        <v>0</v>
      </c>
      <c r="BD142" s="4"/>
      <c r="BE142" s="174">
        <f t="shared" si="144"/>
        <v>0</v>
      </c>
      <c r="BI142" s="228">
        <v>430</v>
      </c>
      <c r="BJ142" s="4"/>
      <c r="BK142" s="4">
        <f t="shared" si="145"/>
        <v>0</v>
      </c>
      <c r="BL142" s="4"/>
      <c r="BM142" s="173">
        <f t="shared" si="146"/>
        <v>0</v>
      </c>
      <c r="BN142" s="4"/>
      <c r="BO142" s="173">
        <f t="shared" si="147"/>
        <v>0</v>
      </c>
      <c r="BP142" s="4"/>
      <c r="BQ142" s="173">
        <f t="shared" si="148"/>
        <v>0</v>
      </c>
      <c r="BR142" s="4"/>
      <c r="BS142" s="174">
        <f t="shared" si="149"/>
        <v>0</v>
      </c>
    </row>
    <row r="143" spans="1:71" x14ac:dyDescent="0.35">
      <c r="A143" s="367" t="s">
        <v>75</v>
      </c>
      <c r="B143" s="400"/>
      <c r="C143" s="375" t="s">
        <v>77</v>
      </c>
      <c r="D143" s="375"/>
      <c r="E143" s="24"/>
      <c r="F143" s="24"/>
      <c r="G143" s="24"/>
      <c r="H143" s="24"/>
      <c r="I143" s="24"/>
      <c r="J143" s="24"/>
      <c r="K143" s="7"/>
      <c r="L143" s="4"/>
      <c r="M143" s="4"/>
      <c r="N143" s="4"/>
      <c r="O143" s="4"/>
      <c r="P143" s="4"/>
      <c r="Q143" s="4"/>
      <c r="S143" s="228">
        <v>440</v>
      </c>
      <c r="T143" s="173"/>
      <c r="U143" s="173">
        <f t="shared" si="130"/>
        <v>0</v>
      </c>
      <c r="V143" s="173"/>
      <c r="W143" s="173">
        <f t="shared" si="131"/>
        <v>0</v>
      </c>
      <c r="X143" s="173"/>
      <c r="Y143" s="173">
        <f t="shared" si="132"/>
        <v>0</v>
      </c>
      <c r="Z143" s="173"/>
      <c r="AA143" s="173">
        <f t="shared" si="133"/>
        <v>0</v>
      </c>
      <c r="AB143" s="173"/>
      <c r="AC143" s="174">
        <f t="shared" si="134"/>
        <v>0</v>
      </c>
      <c r="AG143" s="228">
        <v>440</v>
      </c>
      <c r="AH143" s="4"/>
      <c r="AI143" s="4">
        <f t="shared" si="135"/>
        <v>0</v>
      </c>
      <c r="AJ143" s="4"/>
      <c r="AK143" s="173">
        <f t="shared" si="136"/>
        <v>0</v>
      </c>
      <c r="AL143" s="4"/>
      <c r="AM143" s="173">
        <f t="shared" si="137"/>
        <v>0</v>
      </c>
      <c r="AN143" s="4"/>
      <c r="AO143" s="173">
        <f t="shared" si="138"/>
        <v>0</v>
      </c>
      <c r="AP143" s="4"/>
      <c r="AQ143" s="174">
        <f t="shared" si="139"/>
        <v>0</v>
      </c>
      <c r="AU143" s="228">
        <v>440</v>
      </c>
      <c r="AV143" s="4"/>
      <c r="AW143" s="4">
        <f t="shared" si="140"/>
        <v>0</v>
      </c>
      <c r="AX143" s="4"/>
      <c r="AY143" s="173">
        <f t="shared" si="141"/>
        <v>0</v>
      </c>
      <c r="AZ143" s="4"/>
      <c r="BA143" s="173">
        <f t="shared" si="142"/>
        <v>0</v>
      </c>
      <c r="BB143" s="4"/>
      <c r="BC143" s="173">
        <f t="shared" si="143"/>
        <v>0</v>
      </c>
      <c r="BD143" s="4"/>
      <c r="BE143" s="174">
        <f t="shared" si="144"/>
        <v>0</v>
      </c>
      <c r="BI143" s="228">
        <v>440</v>
      </c>
      <c r="BJ143" s="4"/>
      <c r="BK143" s="4">
        <f t="shared" si="145"/>
        <v>0</v>
      </c>
      <c r="BL143" s="4"/>
      <c r="BM143" s="173">
        <f t="shared" si="146"/>
        <v>0</v>
      </c>
      <c r="BN143" s="4"/>
      <c r="BO143" s="173">
        <f t="shared" si="147"/>
        <v>0</v>
      </c>
      <c r="BP143" s="4"/>
      <c r="BQ143" s="173">
        <f t="shared" si="148"/>
        <v>0</v>
      </c>
      <c r="BR143" s="4"/>
      <c r="BS143" s="174">
        <f t="shared" si="149"/>
        <v>0</v>
      </c>
    </row>
    <row r="144" spans="1:71" x14ac:dyDescent="0.35">
      <c r="A144" s="28" t="s">
        <v>1030</v>
      </c>
      <c r="B144" s="79" t="s">
        <v>124</v>
      </c>
      <c r="C144" s="8">
        <v>86</v>
      </c>
      <c r="D144" s="51"/>
      <c r="E144" s="4"/>
      <c r="F144" s="4"/>
      <c r="G144" s="4"/>
      <c r="H144" s="4"/>
      <c r="I144" s="4"/>
      <c r="J144" s="4"/>
      <c r="K144" s="2"/>
      <c r="L144" s="4"/>
      <c r="M144" s="4"/>
      <c r="N144" s="4"/>
      <c r="O144" s="4"/>
      <c r="P144" s="4"/>
      <c r="Q144" s="4"/>
      <c r="S144" s="228">
        <v>450</v>
      </c>
      <c r="T144" s="173"/>
      <c r="U144" s="173">
        <f t="shared" si="130"/>
        <v>0</v>
      </c>
      <c r="V144" s="173"/>
      <c r="W144" s="173">
        <f t="shared" si="131"/>
        <v>0</v>
      </c>
      <c r="X144" s="173"/>
      <c r="Y144" s="173">
        <f t="shared" si="132"/>
        <v>0</v>
      </c>
      <c r="Z144" s="173"/>
      <c r="AA144" s="173">
        <f t="shared" si="133"/>
        <v>0</v>
      </c>
      <c r="AB144" s="173"/>
      <c r="AC144" s="174">
        <f t="shared" si="134"/>
        <v>0</v>
      </c>
      <c r="AG144" s="228">
        <v>450</v>
      </c>
      <c r="AH144" s="4"/>
      <c r="AI144" s="4">
        <f t="shared" si="135"/>
        <v>0</v>
      </c>
      <c r="AJ144" s="4"/>
      <c r="AK144" s="173">
        <f t="shared" si="136"/>
        <v>0</v>
      </c>
      <c r="AL144" s="4"/>
      <c r="AM144" s="173">
        <f t="shared" si="137"/>
        <v>0</v>
      </c>
      <c r="AN144" s="4"/>
      <c r="AO144" s="173">
        <f t="shared" si="138"/>
        <v>0</v>
      </c>
      <c r="AP144" s="4"/>
      <c r="AQ144" s="174">
        <f t="shared" si="139"/>
        <v>0</v>
      </c>
      <c r="AU144" s="228">
        <v>450</v>
      </c>
      <c r="AV144" s="4"/>
      <c r="AW144" s="4">
        <f t="shared" si="140"/>
        <v>0</v>
      </c>
      <c r="AX144" s="4"/>
      <c r="AY144" s="173">
        <f t="shared" si="141"/>
        <v>0</v>
      </c>
      <c r="AZ144" s="4"/>
      <c r="BA144" s="173">
        <f t="shared" si="142"/>
        <v>0</v>
      </c>
      <c r="BB144" s="4"/>
      <c r="BC144" s="173">
        <f t="shared" si="143"/>
        <v>0</v>
      </c>
      <c r="BD144" s="4"/>
      <c r="BE144" s="174">
        <f t="shared" si="144"/>
        <v>0</v>
      </c>
      <c r="BI144" s="228">
        <v>450</v>
      </c>
      <c r="BJ144" s="4"/>
      <c r="BK144" s="4">
        <f t="shared" si="145"/>
        <v>0</v>
      </c>
      <c r="BL144" s="4"/>
      <c r="BM144" s="173">
        <f t="shared" si="146"/>
        <v>0</v>
      </c>
      <c r="BN144" s="4"/>
      <c r="BO144" s="173">
        <f t="shared" si="147"/>
        <v>0</v>
      </c>
      <c r="BP144" s="4"/>
      <c r="BQ144" s="173">
        <f t="shared" si="148"/>
        <v>0</v>
      </c>
      <c r="BR144" s="4"/>
      <c r="BS144" s="174">
        <f t="shared" si="149"/>
        <v>0</v>
      </c>
    </row>
    <row r="145" spans="1:73" x14ac:dyDescent="0.35">
      <c r="A145" s="12" t="s">
        <v>1031</v>
      </c>
      <c r="B145" s="79" t="s">
        <v>131</v>
      </c>
      <c r="C145" s="8">
        <v>94</v>
      </c>
      <c r="D145" s="51"/>
      <c r="E145" s="4"/>
      <c r="F145" s="4"/>
      <c r="G145" s="4"/>
      <c r="H145" s="4"/>
      <c r="I145" s="4"/>
      <c r="J145" s="4"/>
      <c r="K145" s="2"/>
      <c r="L145" s="4"/>
      <c r="M145" s="4"/>
      <c r="N145" s="4"/>
      <c r="O145" s="4"/>
      <c r="P145" s="4"/>
      <c r="Q145" s="4"/>
      <c r="S145" s="228">
        <v>460</v>
      </c>
      <c r="T145" s="173"/>
      <c r="U145" s="173">
        <f t="shared" si="130"/>
        <v>0</v>
      </c>
      <c r="V145" s="173"/>
      <c r="W145" s="173">
        <f t="shared" si="131"/>
        <v>0</v>
      </c>
      <c r="X145" s="173"/>
      <c r="Y145" s="173">
        <f t="shared" si="132"/>
        <v>0</v>
      </c>
      <c r="Z145" s="173"/>
      <c r="AA145" s="173">
        <f t="shared" si="133"/>
        <v>0</v>
      </c>
      <c r="AB145" s="173"/>
      <c r="AC145" s="174">
        <f t="shared" si="134"/>
        <v>0</v>
      </c>
      <c r="AG145" s="228">
        <v>460</v>
      </c>
      <c r="AH145" s="4"/>
      <c r="AI145" s="4">
        <f t="shared" si="135"/>
        <v>0</v>
      </c>
      <c r="AJ145" s="4"/>
      <c r="AK145" s="4">
        <f t="shared" si="136"/>
        <v>0</v>
      </c>
      <c r="AL145" s="4"/>
      <c r="AM145" s="173">
        <f t="shared" si="137"/>
        <v>0</v>
      </c>
      <c r="AN145" s="4"/>
      <c r="AO145" s="4">
        <f t="shared" si="138"/>
        <v>0</v>
      </c>
      <c r="AP145" s="4"/>
      <c r="AQ145" s="174">
        <f t="shared" si="139"/>
        <v>0</v>
      </c>
      <c r="AU145" s="228">
        <v>460</v>
      </c>
      <c r="AV145" s="4"/>
      <c r="AW145" s="4">
        <f t="shared" si="140"/>
        <v>0</v>
      </c>
      <c r="AX145" s="4"/>
      <c r="AY145" s="4">
        <f t="shared" si="141"/>
        <v>0</v>
      </c>
      <c r="AZ145" s="4"/>
      <c r="BA145" s="173">
        <f t="shared" si="142"/>
        <v>0</v>
      </c>
      <c r="BB145" s="4"/>
      <c r="BC145" s="4">
        <f t="shared" si="143"/>
        <v>0</v>
      </c>
      <c r="BD145" s="4"/>
      <c r="BE145" s="174">
        <f t="shared" si="144"/>
        <v>0</v>
      </c>
      <c r="BI145" s="228">
        <v>460</v>
      </c>
      <c r="BJ145" s="4"/>
      <c r="BK145" s="4">
        <f t="shared" si="145"/>
        <v>0</v>
      </c>
      <c r="BL145" s="4"/>
      <c r="BM145" s="4">
        <f t="shared" si="146"/>
        <v>0</v>
      </c>
      <c r="BN145" s="4"/>
      <c r="BO145" s="173">
        <f t="shared" si="147"/>
        <v>0</v>
      </c>
      <c r="BP145" s="4"/>
      <c r="BQ145" s="4">
        <f t="shared" si="148"/>
        <v>0</v>
      </c>
      <c r="BR145" s="4"/>
      <c r="BS145" s="174">
        <f t="shared" si="149"/>
        <v>0</v>
      </c>
    </row>
    <row r="146" spans="1:73" x14ac:dyDescent="0.35">
      <c r="A146" s="12" t="s">
        <v>1032</v>
      </c>
      <c r="B146" s="79" t="s">
        <v>132</v>
      </c>
      <c r="C146" s="8">
        <f>45*2</f>
        <v>90</v>
      </c>
      <c r="D146" s="51"/>
      <c r="E146" s="4"/>
      <c r="F146" s="4"/>
      <c r="G146" s="4"/>
      <c r="H146" s="4"/>
      <c r="I146" s="4"/>
      <c r="J146" s="4"/>
      <c r="K146" s="2"/>
      <c r="L146" s="4"/>
      <c r="M146" s="4"/>
      <c r="N146" s="4"/>
      <c r="O146" s="4"/>
      <c r="P146" s="4"/>
      <c r="Q146" s="4"/>
      <c r="S146" s="228">
        <v>470</v>
      </c>
      <c r="T146" s="163">
        <v>236.24</v>
      </c>
      <c r="U146" s="173">
        <f t="shared" si="130"/>
        <v>236.24</v>
      </c>
      <c r="V146" s="173">
        <v>232.83</v>
      </c>
      <c r="W146" s="173">
        <f t="shared" si="131"/>
        <v>232.83</v>
      </c>
      <c r="X146" s="173">
        <v>217.8</v>
      </c>
      <c r="Y146" s="173">
        <f t="shared" si="132"/>
        <v>217.8</v>
      </c>
      <c r="Z146" s="173">
        <v>202.75</v>
      </c>
      <c r="AA146" s="173">
        <f t="shared" si="133"/>
        <v>202.75</v>
      </c>
      <c r="AB146" s="163">
        <v>176.03</v>
      </c>
      <c r="AC146" s="174">
        <f t="shared" si="134"/>
        <v>176.03</v>
      </c>
      <c r="AG146" s="228">
        <v>470</v>
      </c>
      <c r="AH146" s="4"/>
      <c r="AI146" s="4">
        <f t="shared" si="135"/>
        <v>0</v>
      </c>
      <c r="AJ146" s="4"/>
      <c r="AK146" s="4">
        <f t="shared" si="136"/>
        <v>0</v>
      </c>
      <c r="AL146" s="8"/>
      <c r="AM146" s="4">
        <f t="shared" si="137"/>
        <v>0</v>
      </c>
      <c r="AN146" s="4"/>
      <c r="AO146" s="4">
        <f t="shared" si="138"/>
        <v>0</v>
      </c>
      <c r="AP146" s="4"/>
      <c r="AQ146" s="2">
        <f t="shared" si="139"/>
        <v>0</v>
      </c>
      <c r="AU146" s="228">
        <v>470</v>
      </c>
      <c r="AV146" s="4"/>
      <c r="AW146" s="4">
        <f t="shared" si="140"/>
        <v>0</v>
      </c>
      <c r="AX146" s="4"/>
      <c r="AY146" s="4">
        <f t="shared" si="141"/>
        <v>0</v>
      </c>
      <c r="AZ146" s="4"/>
      <c r="BA146" s="4">
        <f t="shared" si="142"/>
        <v>0</v>
      </c>
      <c r="BB146" s="4"/>
      <c r="BC146" s="4">
        <f t="shared" si="143"/>
        <v>0</v>
      </c>
      <c r="BD146" s="4"/>
      <c r="BE146" s="2">
        <f t="shared" si="144"/>
        <v>0</v>
      </c>
      <c r="BI146" s="228">
        <v>470</v>
      </c>
      <c r="BJ146" s="4"/>
      <c r="BK146" s="4">
        <f t="shared" si="145"/>
        <v>0</v>
      </c>
      <c r="BL146" s="4"/>
      <c r="BM146" s="4">
        <f t="shared" si="146"/>
        <v>0</v>
      </c>
      <c r="BN146" s="4"/>
      <c r="BO146" s="4">
        <f t="shared" si="147"/>
        <v>0</v>
      </c>
      <c r="BP146" s="4"/>
      <c r="BQ146" s="4">
        <f t="shared" si="148"/>
        <v>0</v>
      </c>
      <c r="BR146" s="4"/>
      <c r="BS146" s="2">
        <f t="shared" si="149"/>
        <v>0</v>
      </c>
    </row>
    <row r="147" spans="1:73" x14ac:dyDescent="0.35">
      <c r="A147" s="12" t="s">
        <v>813</v>
      </c>
      <c r="B147" s="79" t="s">
        <v>133</v>
      </c>
      <c r="C147" s="8">
        <f>45*2</f>
        <v>90</v>
      </c>
      <c r="D147" s="51"/>
      <c r="E147" s="4"/>
      <c r="F147" s="4"/>
      <c r="G147" s="4"/>
      <c r="H147" s="4"/>
      <c r="I147" s="4"/>
      <c r="J147" s="4"/>
      <c r="K147" s="2"/>
      <c r="L147" s="4"/>
      <c r="M147" s="4"/>
      <c r="N147" s="4"/>
      <c r="O147" s="4"/>
      <c r="P147" s="4"/>
      <c r="Q147" s="4"/>
      <c r="R147">
        <f>T147-T121</f>
        <v>40.069999999999993</v>
      </c>
      <c r="S147" s="230">
        <v>480</v>
      </c>
      <c r="T147" s="164">
        <v>236.59</v>
      </c>
      <c r="U147" s="251">
        <f t="shared" si="130"/>
        <v>0.34999999999999432</v>
      </c>
      <c r="V147" s="251">
        <v>233.18</v>
      </c>
      <c r="W147" s="251">
        <f t="shared" si="131"/>
        <v>0.34999999999999432</v>
      </c>
      <c r="X147" s="251">
        <v>218.15</v>
      </c>
      <c r="Y147" s="251">
        <f t="shared" si="132"/>
        <v>0.34999999999999432</v>
      </c>
      <c r="Z147" s="251">
        <v>203.1</v>
      </c>
      <c r="AA147" s="251">
        <f t="shared" si="133"/>
        <v>0.34999999999999432</v>
      </c>
      <c r="AB147" s="164">
        <v>176.38</v>
      </c>
      <c r="AC147" s="174">
        <f t="shared" si="134"/>
        <v>0.34999999999999432</v>
      </c>
      <c r="AD147">
        <f>AB147-AB121</f>
        <v>40.03</v>
      </c>
      <c r="AF147">
        <f>AH147-AH121</f>
        <v>40</v>
      </c>
      <c r="AG147" s="230">
        <v>480</v>
      </c>
      <c r="AH147" s="5">
        <v>135.4</v>
      </c>
      <c r="AI147" s="5">
        <f t="shared" si="135"/>
        <v>135.4</v>
      </c>
      <c r="AJ147" s="5"/>
      <c r="AK147" s="5">
        <f t="shared" si="136"/>
        <v>0</v>
      </c>
      <c r="AL147" s="5"/>
      <c r="AM147" s="5">
        <f t="shared" si="137"/>
        <v>0</v>
      </c>
      <c r="AN147" s="5"/>
      <c r="AO147" s="5">
        <f t="shared" si="138"/>
        <v>0</v>
      </c>
      <c r="AP147" s="5">
        <v>74.91</v>
      </c>
      <c r="AQ147" s="3">
        <f t="shared" si="139"/>
        <v>74.91</v>
      </c>
      <c r="AR147">
        <f>AP147-AP121</f>
        <v>39.949999999999996</v>
      </c>
      <c r="AU147" s="230">
        <v>480</v>
      </c>
      <c r="AV147" s="5"/>
      <c r="AW147" s="5">
        <f t="shared" si="140"/>
        <v>0</v>
      </c>
      <c r="AX147" s="5"/>
      <c r="AY147" s="5">
        <f t="shared" si="141"/>
        <v>0</v>
      </c>
      <c r="AZ147" s="5"/>
      <c r="BA147" s="5">
        <f t="shared" si="142"/>
        <v>0</v>
      </c>
      <c r="BB147" s="5"/>
      <c r="BC147" s="5">
        <f t="shared" si="143"/>
        <v>0</v>
      </c>
      <c r="BD147" s="5">
        <v>179.57</v>
      </c>
      <c r="BE147" s="2">
        <f t="shared" si="144"/>
        <v>179.57</v>
      </c>
      <c r="BF147">
        <f>BD147-BD121</f>
        <v>40.19</v>
      </c>
      <c r="BI147" s="230">
        <v>480</v>
      </c>
      <c r="BJ147" s="5"/>
      <c r="BK147" s="5">
        <f t="shared" si="145"/>
        <v>0</v>
      </c>
      <c r="BL147" s="5"/>
      <c r="BM147" s="5">
        <f t="shared" si="146"/>
        <v>0</v>
      </c>
      <c r="BN147" s="5"/>
      <c r="BO147" s="5">
        <f t="shared" si="147"/>
        <v>0</v>
      </c>
      <c r="BP147" s="5"/>
      <c r="BQ147" s="5">
        <f t="shared" si="148"/>
        <v>0</v>
      </c>
      <c r="BR147" s="5">
        <v>77.489999999999995</v>
      </c>
      <c r="BS147" s="2">
        <f t="shared" si="149"/>
        <v>77.489999999999995</v>
      </c>
      <c r="BT147">
        <f>BR147-BR121</f>
        <v>40.08</v>
      </c>
    </row>
    <row r="148" spans="1:73" x14ac:dyDescent="0.35">
      <c r="A148" s="12" t="s">
        <v>73</v>
      </c>
      <c r="B148" s="79" t="s">
        <v>134</v>
      </c>
      <c r="C148" s="8">
        <v>94</v>
      </c>
      <c r="D148" s="51"/>
      <c r="E148" s="4"/>
      <c r="F148" s="4"/>
      <c r="G148" s="4"/>
      <c r="H148" s="4"/>
      <c r="I148" s="4"/>
      <c r="J148" s="4"/>
      <c r="K148" s="2"/>
      <c r="L148" s="4"/>
      <c r="M148" s="4"/>
      <c r="N148" s="4"/>
      <c r="O148" s="4"/>
      <c r="P148" s="4"/>
      <c r="Q148" s="4"/>
      <c r="S148" s="83" t="s">
        <v>781</v>
      </c>
      <c r="U148" s="227">
        <f>(T147-T128)/19</f>
        <v>0.35368421052631571</v>
      </c>
      <c r="V148" s="22"/>
      <c r="W148" s="227">
        <f>(V147-V128)/19</f>
        <v>0.3531578947368425</v>
      </c>
      <c r="X148" s="22"/>
      <c r="Y148" s="227">
        <f>(X147-X128)/19</f>
        <v>0.35157894736842144</v>
      </c>
      <c r="Z148" s="22"/>
      <c r="AA148" s="227">
        <f>(Z147-Z128)/19</f>
        <v>0.35000000000000031</v>
      </c>
      <c r="AB148" s="22"/>
      <c r="AC148" s="234">
        <f>(AB147-AB128)/19</f>
        <v>0.3489473684210524</v>
      </c>
      <c r="AD148" s="236">
        <f>(AC148+AA148+Y148+W148+U148)/5</f>
        <v>0.35147368421052649</v>
      </c>
      <c r="AE148" t="s">
        <v>440</v>
      </c>
      <c r="AG148" s="83" t="s">
        <v>781</v>
      </c>
      <c r="AI148" s="227">
        <f>(AH147-AH128)/19</f>
        <v>0.35105263157894823</v>
      </c>
      <c r="AJ148" s="22"/>
      <c r="AK148" s="227">
        <f>(AJ147-AJ128)/19</f>
        <v>0</v>
      </c>
      <c r="AL148" s="22"/>
      <c r="AM148" s="227">
        <f>(AL147-AL128)/19</f>
        <v>0</v>
      </c>
      <c r="AN148" s="22"/>
      <c r="AO148" s="227">
        <f>(AN147-AN128)/19</f>
        <v>0</v>
      </c>
      <c r="AP148" s="22"/>
      <c r="AQ148" s="231">
        <f>(AP147-AP128)/19</f>
        <v>0.36263157894736847</v>
      </c>
      <c r="AR148" s="232">
        <f>(AQ148+AO148+AM148+AK148+AI148)/5</f>
        <v>0.14273684210526333</v>
      </c>
      <c r="AS148" t="s">
        <v>440</v>
      </c>
      <c r="AU148" s="83" t="s">
        <v>781</v>
      </c>
      <c r="AW148" s="227">
        <f>(AV147-AV128)/19</f>
        <v>0</v>
      </c>
      <c r="AX148" s="22"/>
      <c r="AY148" s="227">
        <f>(AX147-AX128)/19</f>
        <v>0</v>
      </c>
      <c r="AZ148" s="22"/>
      <c r="BA148" s="227">
        <f>(AZ147-AZ128)/19</f>
        <v>0</v>
      </c>
      <c r="BB148" s="22"/>
      <c r="BC148" s="227">
        <f>(BB147-BB128)/19</f>
        <v>0</v>
      </c>
      <c r="BD148" s="22"/>
      <c r="BE148" s="234">
        <f>(BD147-BD128)/19</f>
        <v>0.52315789473684193</v>
      </c>
      <c r="BF148" s="236">
        <f>(BE148+BC148+BA148+AY148+AW148)/5</f>
        <v>0.10463157894736838</v>
      </c>
      <c r="BG148" t="s">
        <v>440</v>
      </c>
      <c r="BI148" s="83" t="s">
        <v>781</v>
      </c>
      <c r="BK148" s="227">
        <f>(BJ147-BJ128)/19</f>
        <v>0</v>
      </c>
      <c r="BL148" s="22"/>
      <c r="BM148" s="227">
        <f>(BL147-BL128)/19</f>
        <v>0</v>
      </c>
      <c r="BN148" s="22"/>
      <c r="BO148" s="227">
        <f>(BN147-BN128)/19</f>
        <v>0</v>
      </c>
      <c r="BP148" s="22"/>
      <c r="BQ148" s="227">
        <f>(BP147-BP128)/19</f>
        <v>0</v>
      </c>
      <c r="BR148" s="22"/>
      <c r="BS148" s="234">
        <f>(BR147-BR128)/19</f>
        <v>0.54631578947368398</v>
      </c>
      <c r="BT148" s="236">
        <f>(BS148+BQ148+BO148+BM148+BK148)/5</f>
        <v>0.1092631578947368</v>
      </c>
      <c r="BU148" t="s">
        <v>440</v>
      </c>
    </row>
    <row r="149" spans="1:73" x14ac:dyDescent="0.35">
      <c r="A149" s="12" t="s">
        <v>74</v>
      </c>
      <c r="B149" s="79" t="s">
        <v>135</v>
      </c>
      <c r="C149" s="8">
        <v>84</v>
      </c>
      <c r="D149" s="51"/>
      <c r="E149" s="4"/>
      <c r="F149" s="4"/>
      <c r="G149" s="4"/>
      <c r="H149" s="4"/>
      <c r="I149" s="4"/>
      <c r="J149" s="4"/>
      <c r="K149" s="2"/>
      <c r="L149" s="4"/>
      <c r="M149" s="4"/>
      <c r="N149" s="4"/>
      <c r="O149" s="4"/>
      <c r="P149" s="4"/>
      <c r="Q149" s="4"/>
      <c r="U149" s="226">
        <f>T147-V147</f>
        <v>3.4099999999999966</v>
      </c>
      <c r="W149" s="226">
        <f>V147-X147</f>
        <v>15.030000000000001</v>
      </c>
      <c r="Y149" s="226">
        <f>X147-Z147</f>
        <v>15.050000000000011</v>
      </c>
      <c r="AA149" s="226">
        <f>Z147-AB147</f>
        <v>26.72</v>
      </c>
      <c r="AC149" s="235"/>
      <c r="AD149" s="237">
        <f>(U127+W127+Y127+AA127+U149+W149+Y149+AA149)/8</f>
        <v>15.041250000000002</v>
      </c>
      <c r="AE149" t="s">
        <v>637</v>
      </c>
      <c r="AI149" s="226">
        <f>AH147-AJ147</f>
        <v>135.4</v>
      </c>
      <c r="AK149" s="226">
        <f>AJ147-AL147</f>
        <v>0</v>
      </c>
      <c r="AM149" s="226">
        <f>AL147-AN147</f>
        <v>0</v>
      </c>
      <c r="AO149" s="226">
        <f>AN147-AP147</f>
        <v>-74.91</v>
      </c>
      <c r="AR149" s="233">
        <f>(AI127+AK127+AM127+AO127+AI149+AK149+AM149+AO149)/8</f>
        <v>15.150000000000002</v>
      </c>
      <c r="AS149" t="s">
        <v>637</v>
      </c>
      <c r="AW149" s="226">
        <f>AV147-AX147</f>
        <v>0</v>
      </c>
      <c r="AY149" s="226">
        <f>AX147-AZ147</f>
        <v>0</v>
      </c>
      <c r="BA149" s="226">
        <f>AZ147-BB147</f>
        <v>0</v>
      </c>
      <c r="BC149" s="226">
        <f>BB147-BD147</f>
        <v>-179.57</v>
      </c>
      <c r="BE149" s="235"/>
      <c r="BF149" s="237">
        <f>(AW127+AY127+BA127+BC127+AW149+AY149+BA149+BC149)/8</f>
        <v>-43.65</v>
      </c>
      <c r="BG149" t="s">
        <v>637</v>
      </c>
      <c r="BK149" s="226">
        <f>BJ147-BL147</f>
        <v>0</v>
      </c>
      <c r="BM149" s="226">
        <f>BL147-BN147</f>
        <v>0</v>
      </c>
      <c r="BO149" s="226">
        <f>BN147-BP147</f>
        <v>0</v>
      </c>
      <c r="BQ149" s="226">
        <f>BP147-BR147</f>
        <v>-77.489999999999995</v>
      </c>
      <c r="BS149" s="235"/>
      <c r="BT149" s="237">
        <f>(BK127+BM127+BO127+BQ127+BK149+BM149+BO149+BQ149)/8</f>
        <v>-18.074999999999999</v>
      </c>
      <c r="BU149" t="s">
        <v>637</v>
      </c>
    </row>
    <row r="150" spans="1:73" x14ac:dyDescent="0.35">
      <c r="A150" s="12" t="s">
        <v>72</v>
      </c>
      <c r="B150" s="79" t="s">
        <v>136</v>
      </c>
      <c r="C150" s="8">
        <v>92</v>
      </c>
      <c r="D150" s="51"/>
      <c r="E150" s="4"/>
      <c r="F150" s="4"/>
      <c r="G150" s="4"/>
      <c r="H150" s="4"/>
      <c r="I150" s="4"/>
      <c r="J150" s="4"/>
      <c r="K150" s="2"/>
      <c r="L150" s="4"/>
      <c r="M150" s="4"/>
      <c r="N150" s="4"/>
      <c r="O150" s="4"/>
      <c r="P150" s="4"/>
      <c r="Q150" s="4"/>
      <c r="AR150">
        <f>AR149/15</f>
        <v>1.0100000000000002</v>
      </c>
      <c r="BF150">
        <f>BF149/15</f>
        <v>-2.9099999999999997</v>
      </c>
      <c r="BT150">
        <f>BT149/15</f>
        <v>-1.2049999999999998</v>
      </c>
    </row>
    <row r="151" spans="1:73" x14ac:dyDescent="0.35">
      <c r="A151" s="12" t="s">
        <v>71</v>
      </c>
      <c r="B151" s="79" t="s">
        <v>137</v>
      </c>
      <c r="C151" s="8">
        <f>48*2</f>
        <v>96</v>
      </c>
      <c r="D151" s="51"/>
      <c r="E151" s="4"/>
      <c r="F151" s="4"/>
      <c r="G151" s="4"/>
      <c r="H151" s="4"/>
      <c r="I151" s="4"/>
      <c r="J151" s="4"/>
      <c r="K151" s="2"/>
      <c r="L151" s="4"/>
      <c r="M151" s="4"/>
      <c r="N151" s="4"/>
      <c r="O151" s="4"/>
      <c r="P151" s="4"/>
      <c r="Q151" s="4"/>
      <c r="AH151" s="239"/>
      <c r="AI151" s="239"/>
      <c r="AJ151" s="239"/>
      <c r="AK151" s="239"/>
      <c r="AL151" s="239"/>
      <c r="AM151" s="239"/>
      <c r="AN151" s="239"/>
      <c r="AO151" s="239"/>
      <c r="AP151" s="239"/>
      <c r="AQ151" s="239"/>
      <c r="AR151" s="239"/>
      <c r="AS151" s="239"/>
    </row>
    <row r="152" spans="1:73" x14ac:dyDescent="0.35">
      <c r="A152" s="12" t="s">
        <v>1033</v>
      </c>
      <c r="B152" s="79" t="s">
        <v>138</v>
      </c>
      <c r="C152" s="8">
        <f>45*2</f>
        <v>90</v>
      </c>
      <c r="D152" s="51"/>
      <c r="E152" s="4"/>
      <c r="F152" s="4"/>
      <c r="G152" s="4"/>
      <c r="H152" s="4"/>
      <c r="I152" s="4"/>
      <c r="J152" s="4"/>
      <c r="K152" s="2"/>
      <c r="L152" s="4"/>
      <c r="M152" s="4"/>
      <c r="N152" s="4"/>
      <c r="O152" s="4"/>
      <c r="P152" s="4"/>
      <c r="Q152" s="4"/>
      <c r="AH152" s="239"/>
      <c r="AI152" s="239"/>
      <c r="AJ152" s="239"/>
      <c r="AK152" s="239"/>
      <c r="AL152" s="239"/>
      <c r="AM152" s="239"/>
      <c r="AN152" s="239"/>
      <c r="AO152" s="239"/>
      <c r="AP152" s="239"/>
      <c r="AQ152" s="239"/>
      <c r="AR152" s="239"/>
      <c r="AS152" s="239"/>
    </row>
    <row r="153" spans="1:73" ht="15" thickBot="1" x14ac:dyDescent="0.4">
      <c r="A153" s="16" t="s">
        <v>1034</v>
      </c>
      <c r="B153" s="213" t="s">
        <v>139</v>
      </c>
      <c r="C153" s="10">
        <f>45*2</f>
        <v>90</v>
      </c>
      <c r="D153" s="52"/>
      <c r="E153" s="5"/>
      <c r="F153" s="5"/>
      <c r="G153" s="5"/>
      <c r="H153" s="5"/>
      <c r="I153" s="5"/>
      <c r="J153" s="5"/>
      <c r="K153" s="3"/>
      <c r="L153" s="4"/>
      <c r="M153" s="4"/>
      <c r="N153" s="4"/>
      <c r="O153" s="4"/>
      <c r="P153" s="4"/>
      <c r="Q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</row>
    <row r="154" spans="1:73" x14ac:dyDescent="0.35"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</row>
    <row r="155" spans="1:73" x14ac:dyDescent="0.35"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</row>
    <row r="156" spans="1:73" x14ac:dyDescent="0.35">
      <c r="A156" s="8"/>
      <c r="B156" s="401"/>
      <c r="C156" s="401"/>
      <c r="D156" s="8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</row>
    <row r="157" spans="1:73" x14ac:dyDescent="0.35">
      <c r="A157" s="8"/>
      <c r="B157" s="8"/>
      <c r="C157" s="8"/>
      <c r="D157" s="8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</row>
    <row r="158" spans="1:73" x14ac:dyDescent="0.35">
      <c r="A158" s="8"/>
      <c r="B158" s="44"/>
      <c r="C158" s="44"/>
      <c r="D158" s="45"/>
      <c r="AH158" s="250"/>
      <c r="AI158" s="250"/>
      <c r="AJ158" s="250"/>
      <c r="AK158" s="250"/>
      <c r="AL158" s="250"/>
      <c r="AM158" s="250"/>
      <c r="AN158" s="250"/>
      <c r="AO158" s="250"/>
      <c r="AP158" s="250"/>
      <c r="AQ158" s="250"/>
      <c r="AR158" s="250"/>
      <c r="AS158" s="250"/>
    </row>
    <row r="159" spans="1:73" x14ac:dyDescent="0.35">
      <c r="A159" s="8"/>
      <c r="B159" s="44"/>
      <c r="C159" s="44"/>
      <c r="D159" s="45"/>
    </row>
    <row r="160" spans="1:73" x14ac:dyDescent="0.35">
      <c r="A160" s="8"/>
      <c r="B160" s="44"/>
      <c r="C160" s="44"/>
      <c r="D160" s="45"/>
    </row>
    <row r="161" spans="1:49" x14ac:dyDescent="0.35">
      <c r="A161" s="11"/>
      <c r="B161" s="8"/>
      <c r="C161" s="8"/>
      <c r="D161" s="8"/>
      <c r="AK161">
        <v>385</v>
      </c>
      <c r="AL161" s="243">
        <v>410</v>
      </c>
      <c r="AM161">
        <v>435</v>
      </c>
      <c r="AN161">
        <v>460</v>
      </c>
      <c r="AO161">
        <v>460</v>
      </c>
      <c r="AP161">
        <v>485</v>
      </c>
      <c r="AQ161">
        <v>485</v>
      </c>
      <c r="AR161">
        <v>510</v>
      </c>
      <c r="AS161">
        <v>510</v>
      </c>
      <c r="AT161">
        <v>535</v>
      </c>
      <c r="AU161">
        <v>560</v>
      </c>
      <c r="AV161" s="459" t="s">
        <v>791</v>
      </c>
      <c r="AW161" s="459"/>
    </row>
    <row r="162" spans="1:49" x14ac:dyDescent="0.35">
      <c r="A162" s="8"/>
      <c r="B162" s="8"/>
      <c r="C162" s="8"/>
      <c r="D162" s="8"/>
      <c r="AK162" s="32">
        <v>350</v>
      </c>
      <c r="AL162" s="244">
        <v>375</v>
      </c>
      <c r="AM162" s="32">
        <v>400</v>
      </c>
      <c r="AN162" s="32">
        <v>425</v>
      </c>
      <c r="AO162" s="32" t="s">
        <v>788</v>
      </c>
      <c r="AP162" s="32">
        <v>450</v>
      </c>
      <c r="AQ162" s="32" t="s">
        <v>789</v>
      </c>
      <c r="AR162" s="32">
        <v>475</v>
      </c>
      <c r="AS162" s="32" t="s">
        <v>787</v>
      </c>
      <c r="AT162" s="32" t="s">
        <v>786</v>
      </c>
      <c r="AU162" s="32" t="s">
        <v>790</v>
      </c>
      <c r="AV162" s="459" t="s">
        <v>486</v>
      </c>
      <c r="AW162" s="459"/>
    </row>
    <row r="163" spans="1:49" x14ac:dyDescent="0.35">
      <c r="A163" s="401"/>
      <c r="B163" s="401"/>
      <c r="C163" s="401"/>
      <c r="D163" s="8"/>
      <c r="AI163" s="458" t="s">
        <v>637</v>
      </c>
      <c r="AJ163">
        <v>1</v>
      </c>
      <c r="AK163">
        <f>AK$161-298-75</f>
        <v>12</v>
      </c>
      <c r="AL163" s="245">
        <f>AL$161-293-105</f>
        <v>12</v>
      </c>
      <c r="AM163" s="24">
        <f>AM$161-293-105</f>
        <v>37</v>
      </c>
      <c r="AN163" s="24">
        <f>AN$161-293-105</f>
        <v>62</v>
      </c>
      <c r="AO163" s="24">
        <f>AO$161-343-105</f>
        <v>12</v>
      </c>
      <c r="AP163" s="24">
        <f>AP$161-293-105</f>
        <v>87</v>
      </c>
      <c r="AQ163" s="24">
        <f>AQ$161-343-105</f>
        <v>37</v>
      </c>
      <c r="AR163" s="24">
        <f>AR$161-293-105</f>
        <v>112</v>
      </c>
      <c r="AS163" s="24">
        <f>AS$161-343-105</f>
        <v>62</v>
      </c>
      <c r="AT163" s="24">
        <f>AT$161-343-105</f>
        <v>87</v>
      </c>
      <c r="AU163" s="7">
        <f>AU$161-343-105</f>
        <v>112</v>
      </c>
      <c r="AV163" s="4"/>
      <c r="AW163" s="4"/>
    </row>
    <row r="164" spans="1:49" x14ac:dyDescent="0.35">
      <c r="A164" s="8"/>
      <c r="B164" s="8"/>
      <c r="C164" s="8"/>
      <c r="D164" s="8"/>
      <c r="AI164" s="458"/>
      <c r="AJ164">
        <v>2</v>
      </c>
      <c r="AK164">
        <f>AK163+15</f>
        <v>27</v>
      </c>
      <c r="AL164" s="246">
        <f>AL163+15</f>
        <v>27</v>
      </c>
      <c r="AM164" s="4">
        <f t="shared" ref="AM164:AO167" si="150">AM163+15</f>
        <v>52</v>
      </c>
      <c r="AN164" s="4">
        <f t="shared" si="150"/>
        <v>77</v>
      </c>
      <c r="AO164" s="4">
        <f t="shared" si="150"/>
        <v>27</v>
      </c>
      <c r="AP164" s="4">
        <f t="shared" ref="AP164" si="151">AP163+15</f>
        <v>102</v>
      </c>
      <c r="AQ164" s="4">
        <f t="shared" ref="AQ164" si="152">AQ163+15</f>
        <v>52</v>
      </c>
      <c r="AR164" s="4">
        <f t="shared" ref="AR164" si="153">AR163+15</f>
        <v>127</v>
      </c>
      <c r="AS164" s="4">
        <f t="shared" ref="AS164" si="154">AS163+15</f>
        <v>77</v>
      </c>
      <c r="AT164" s="4">
        <f t="shared" ref="AT164" si="155">AT163+15</f>
        <v>102</v>
      </c>
      <c r="AU164" s="2">
        <f t="shared" ref="AU164" si="156">AU163+15</f>
        <v>127</v>
      </c>
      <c r="AV164" s="4"/>
      <c r="AW164" s="4"/>
    </row>
    <row r="165" spans="1:49" x14ac:dyDescent="0.35">
      <c r="A165" s="8"/>
      <c r="B165" s="8"/>
      <c r="C165" s="8"/>
      <c r="D165" s="8"/>
      <c r="AI165" s="458"/>
      <c r="AJ165">
        <v>3</v>
      </c>
      <c r="AK165">
        <f>AK164+15</f>
        <v>42</v>
      </c>
      <c r="AL165" s="246">
        <f t="shared" ref="AL165:AL167" si="157">AL164+15</f>
        <v>42</v>
      </c>
      <c r="AM165" s="4">
        <f t="shared" si="150"/>
        <v>67</v>
      </c>
      <c r="AN165" s="4">
        <f t="shared" si="150"/>
        <v>92</v>
      </c>
      <c r="AO165" s="4">
        <f>AO164+15</f>
        <v>42</v>
      </c>
      <c r="AP165" s="4">
        <f t="shared" ref="AP165:AP167" si="158">AP164+15</f>
        <v>117</v>
      </c>
      <c r="AQ165" s="4">
        <f t="shared" ref="AQ165:AQ167" si="159">AQ164+15</f>
        <v>67</v>
      </c>
      <c r="AR165" s="4">
        <f t="shared" ref="AR165:AR167" si="160">AR164+15</f>
        <v>142</v>
      </c>
      <c r="AS165" s="4">
        <f t="shared" ref="AS165:AS167" si="161">AS164+15</f>
        <v>92</v>
      </c>
      <c r="AT165" s="4">
        <f t="shared" ref="AT165:AT167" si="162">AT164+15</f>
        <v>117</v>
      </c>
      <c r="AU165" s="2">
        <f t="shared" ref="AU165:AU167" si="163">AU164+15</f>
        <v>142</v>
      </c>
      <c r="AV165" s="4"/>
      <c r="AW165" s="4"/>
    </row>
    <row r="166" spans="1:49" x14ac:dyDescent="0.35">
      <c r="A166" s="8"/>
      <c r="B166" s="8"/>
      <c r="C166" s="8"/>
      <c r="D166" s="8"/>
      <c r="AI166" s="458"/>
      <c r="AJ166">
        <v>4</v>
      </c>
      <c r="AK166" t="s">
        <v>194</v>
      </c>
      <c r="AL166" s="246">
        <f t="shared" si="157"/>
        <v>57</v>
      </c>
      <c r="AM166" s="4">
        <f t="shared" si="150"/>
        <v>82</v>
      </c>
      <c r="AN166" s="4">
        <f t="shared" si="150"/>
        <v>107</v>
      </c>
      <c r="AO166" s="4">
        <f t="shared" ref="AO166:AO167" si="164">AO165+15</f>
        <v>57</v>
      </c>
      <c r="AP166" s="4">
        <f t="shared" si="158"/>
        <v>132</v>
      </c>
      <c r="AQ166" s="4">
        <f t="shared" si="159"/>
        <v>82</v>
      </c>
      <c r="AR166" s="4">
        <f t="shared" si="160"/>
        <v>157</v>
      </c>
      <c r="AS166" s="4">
        <f t="shared" si="161"/>
        <v>107</v>
      </c>
      <c r="AT166" s="4">
        <f t="shared" si="162"/>
        <v>132</v>
      </c>
      <c r="AU166" s="2">
        <f t="shared" si="163"/>
        <v>157</v>
      </c>
      <c r="AV166" s="4"/>
      <c r="AW166" s="4"/>
    </row>
    <row r="167" spans="1:49" x14ac:dyDescent="0.35">
      <c r="A167" s="8"/>
      <c r="B167" s="8"/>
      <c r="C167" s="8"/>
      <c r="D167" s="8"/>
      <c r="AI167" s="458"/>
      <c r="AJ167">
        <v>5</v>
      </c>
      <c r="AK167" t="s">
        <v>194</v>
      </c>
      <c r="AL167" s="246">
        <f t="shared" si="157"/>
        <v>72</v>
      </c>
      <c r="AM167" s="4">
        <f t="shared" si="150"/>
        <v>97</v>
      </c>
      <c r="AN167" s="4">
        <f t="shared" si="150"/>
        <v>122</v>
      </c>
      <c r="AO167" s="4">
        <f t="shared" si="164"/>
        <v>72</v>
      </c>
      <c r="AP167" s="4">
        <f t="shared" si="158"/>
        <v>147</v>
      </c>
      <c r="AQ167" s="4">
        <f t="shared" si="159"/>
        <v>97</v>
      </c>
      <c r="AR167" s="4">
        <f t="shared" si="160"/>
        <v>172</v>
      </c>
      <c r="AS167" s="4">
        <f t="shared" si="161"/>
        <v>122</v>
      </c>
      <c r="AT167" s="4">
        <f t="shared" si="162"/>
        <v>147</v>
      </c>
      <c r="AU167" s="2">
        <f t="shared" si="163"/>
        <v>172</v>
      </c>
      <c r="AV167" s="4"/>
      <c r="AW167" s="4"/>
    </row>
    <row r="168" spans="1:49" x14ac:dyDescent="0.35">
      <c r="A168" s="8"/>
      <c r="B168" s="8"/>
      <c r="C168" s="8"/>
      <c r="D168" s="8"/>
      <c r="AJ168" s="207" t="s">
        <v>792</v>
      </c>
      <c r="AL168" s="240"/>
      <c r="AM168" s="241">
        <f>AM163-AL163</f>
        <v>25</v>
      </c>
      <c r="AN168" s="241">
        <f>AN163-AL163</f>
        <v>50</v>
      </c>
      <c r="AO168" s="241">
        <f>AO163-AL163</f>
        <v>0</v>
      </c>
      <c r="AP168" s="241">
        <f>AP163-AL163</f>
        <v>75</v>
      </c>
      <c r="AQ168" s="241">
        <f>AQ163-AL163</f>
        <v>25</v>
      </c>
      <c r="AR168" s="241">
        <f>AR163-AL163</f>
        <v>100</v>
      </c>
      <c r="AS168" s="241">
        <f>AS163-AL163</f>
        <v>50</v>
      </c>
      <c r="AT168" s="241">
        <f>AT163-AL163</f>
        <v>75</v>
      </c>
      <c r="AU168" s="242">
        <f>AU163-AL163</f>
        <v>100</v>
      </c>
      <c r="AV168" s="250"/>
      <c r="AW168" s="250"/>
    </row>
    <row r="171" spans="1:49" x14ac:dyDescent="0.35">
      <c r="A171" s="4"/>
      <c r="B171" s="4"/>
      <c r="C171" s="4"/>
      <c r="AJ171" t="s">
        <v>796</v>
      </c>
      <c r="AK171" t="s">
        <v>798</v>
      </c>
    </row>
    <row r="172" spans="1:49" x14ac:dyDescent="0.35">
      <c r="A172" s="4"/>
      <c r="B172" s="4"/>
      <c r="C172" s="4"/>
      <c r="AJ172" t="s">
        <v>797</v>
      </c>
      <c r="AK172" t="s">
        <v>799</v>
      </c>
    </row>
  </sheetData>
  <mergeCells count="72">
    <mergeCell ref="AI163:AI167"/>
    <mergeCell ref="AV161:AW161"/>
    <mergeCell ref="AV162:AW162"/>
    <mergeCell ref="S74:AC74"/>
    <mergeCell ref="S47:AC47"/>
    <mergeCell ref="S48:AC48"/>
    <mergeCell ref="S73:AC73"/>
    <mergeCell ref="AG100:AQ100"/>
    <mergeCell ref="S125:AC125"/>
    <mergeCell ref="AG125:AQ125"/>
    <mergeCell ref="S126:AC126"/>
    <mergeCell ref="AG126:AQ126"/>
    <mergeCell ref="AU99:BE99"/>
    <mergeCell ref="AU126:BE126"/>
    <mergeCell ref="AU100:BE100"/>
    <mergeCell ref="AU125:BE125"/>
    <mergeCell ref="S13:Y15"/>
    <mergeCell ref="A3:B3"/>
    <mergeCell ref="A11:B11"/>
    <mergeCell ref="C3:K3"/>
    <mergeCell ref="B156:C156"/>
    <mergeCell ref="A4:B4"/>
    <mergeCell ref="A22:B22"/>
    <mergeCell ref="A31:B31"/>
    <mergeCell ref="A37:B37"/>
    <mergeCell ref="A53:B53"/>
    <mergeCell ref="A62:B62"/>
    <mergeCell ref="A74:B74"/>
    <mergeCell ref="A95:B95"/>
    <mergeCell ref="A100:B100"/>
    <mergeCell ref="A112:B112"/>
    <mergeCell ref="A115:B115"/>
    <mergeCell ref="A163:C163"/>
    <mergeCell ref="A121:B121"/>
    <mergeCell ref="A134:B134"/>
    <mergeCell ref="A143:B143"/>
    <mergeCell ref="C143:D143"/>
    <mergeCell ref="A138:B138"/>
    <mergeCell ref="BW47:CG47"/>
    <mergeCell ref="BW48:CG48"/>
    <mergeCell ref="BW73:CG73"/>
    <mergeCell ref="BW74:CG74"/>
    <mergeCell ref="CY47:DI47"/>
    <mergeCell ref="CY48:DI48"/>
    <mergeCell ref="CK47:CU47"/>
    <mergeCell ref="CK48:CU48"/>
    <mergeCell ref="CK73:CU73"/>
    <mergeCell ref="CK74:CU74"/>
    <mergeCell ref="A107:B107"/>
    <mergeCell ref="AG47:AQ47"/>
    <mergeCell ref="AG48:AQ48"/>
    <mergeCell ref="AG73:AQ73"/>
    <mergeCell ref="AG74:AQ74"/>
    <mergeCell ref="S99:AC99"/>
    <mergeCell ref="AG99:AQ99"/>
    <mergeCell ref="S100:AC100"/>
    <mergeCell ref="AU47:BE47"/>
    <mergeCell ref="AU48:BE48"/>
    <mergeCell ref="AU73:BE73"/>
    <mergeCell ref="AU74:BE74"/>
    <mergeCell ref="BI126:BS126"/>
    <mergeCell ref="BI125:BS125"/>
    <mergeCell ref="BI47:BS47"/>
    <mergeCell ref="BI48:BS48"/>
    <mergeCell ref="BI73:BS73"/>
    <mergeCell ref="BI74:BS74"/>
    <mergeCell ref="BW99:CG99"/>
    <mergeCell ref="BW100:CG100"/>
    <mergeCell ref="CY99:DI99"/>
    <mergeCell ref="CY100:DI100"/>
    <mergeCell ref="BI99:BS99"/>
    <mergeCell ref="BI100:BS100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08627-6022-4788-8772-ADA745CD8E14}">
  <dimension ref="A1:G241"/>
  <sheetViews>
    <sheetView topLeftCell="A151" workbookViewId="0">
      <selection activeCell="I232" sqref="I232"/>
    </sheetView>
  </sheetViews>
  <sheetFormatPr defaultColWidth="11.54296875" defaultRowHeight="14.5" x14ac:dyDescent="0.35"/>
  <cols>
    <col min="1" max="1" width="30.08984375" bestFit="1" customWidth="1"/>
    <col min="2" max="2" width="20" customWidth="1"/>
    <col min="3" max="3" width="16.6328125" bestFit="1" customWidth="1"/>
    <col min="4" max="4" width="20" bestFit="1" customWidth="1"/>
    <col min="5" max="5" width="11.36328125" bestFit="1" customWidth="1"/>
    <col min="6" max="6" width="36" customWidth="1"/>
    <col min="7" max="7" width="10.36328125" style="32" customWidth="1"/>
  </cols>
  <sheetData>
    <row r="1" spans="1:7" x14ac:dyDescent="0.35">
      <c r="A1" t="s">
        <v>188</v>
      </c>
      <c r="B1" t="s">
        <v>189</v>
      </c>
      <c r="C1" t="s">
        <v>190</v>
      </c>
      <c r="D1" t="s">
        <v>191</v>
      </c>
      <c r="E1" t="s">
        <v>192</v>
      </c>
      <c r="G1" s="32" t="s">
        <v>193</v>
      </c>
    </row>
    <row r="2" spans="1:7" x14ac:dyDescent="0.35">
      <c r="A2" t="s">
        <v>179</v>
      </c>
      <c r="B2" t="s">
        <v>178</v>
      </c>
      <c r="C2" t="s">
        <v>159</v>
      </c>
      <c r="D2" t="s">
        <v>145</v>
      </c>
      <c r="E2" t="s">
        <v>1015</v>
      </c>
      <c r="F2" t="str">
        <f t="shared" ref="F2:F65" si="0">CONCATENATE(A2,B2,C2,D2,E2)</f>
        <v>DHA3425DHA3490DHA6500DHA6820Oui</v>
      </c>
      <c r="G2" s="32" t="s">
        <v>194</v>
      </c>
    </row>
    <row r="3" spans="1:7" x14ac:dyDescent="0.35">
      <c r="A3" t="s">
        <v>179</v>
      </c>
      <c r="B3" t="s">
        <v>178</v>
      </c>
      <c r="C3" t="s">
        <v>159</v>
      </c>
      <c r="D3" t="s">
        <v>145</v>
      </c>
      <c r="E3" t="s">
        <v>1016</v>
      </c>
      <c r="F3" t="str">
        <f t="shared" si="0"/>
        <v>DHA3425DHA3490DHA6500DHA6820Non</v>
      </c>
      <c r="G3" s="32" t="s">
        <v>194</v>
      </c>
    </row>
    <row r="4" spans="1:7" x14ac:dyDescent="0.35">
      <c r="A4" t="s">
        <v>179</v>
      </c>
      <c r="B4" t="s">
        <v>178</v>
      </c>
      <c r="C4" t="s">
        <v>159</v>
      </c>
      <c r="D4" t="s">
        <v>146</v>
      </c>
      <c r="E4" t="s">
        <v>1015</v>
      </c>
      <c r="F4" t="str">
        <f t="shared" si="0"/>
        <v>DHA3425DHA3490DHA6500DHA6830Oui</v>
      </c>
      <c r="G4" s="32" t="s">
        <v>194</v>
      </c>
    </row>
    <row r="5" spans="1:7" x14ac:dyDescent="0.35">
      <c r="A5" t="s">
        <v>179</v>
      </c>
      <c r="B5" t="s">
        <v>178</v>
      </c>
      <c r="C5" t="s">
        <v>159</v>
      </c>
      <c r="D5" t="s">
        <v>146</v>
      </c>
      <c r="E5" t="s">
        <v>1016</v>
      </c>
      <c r="F5" t="str">
        <f t="shared" si="0"/>
        <v>DHA3425DHA3490DHA6500DHA6830Non</v>
      </c>
      <c r="G5" s="32" t="s">
        <v>194</v>
      </c>
    </row>
    <row r="6" spans="1:7" x14ac:dyDescent="0.35">
      <c r="A6" t="s">
        <v>179</v>
      </c>
      <c r="B6" t="s">
        <v>178</v>
      </c>
      <c r="C6" t="s">
        <v>159</v>
      </c>
      <c r="D6" t="s">
        <v>147</v>
      </c>
      <c r="E6" t="s">
        <v>1015</v>
      </c>
      <c r="F6" t="str">
        <f t="shared" si="0"/>
        <v>DHA3425DHA3490DHA6500DHA6840Oui</v>
      </c>
      <c r="G6" s="32" t="s">
        <v>194</v>
      </c>
    </row>
    <row r="7" spans="1:7" x14ac:dyDescent="0.35">
      <c r="A7" t="s">
        <v>179</v>
      </c>
      <c r="B7" t="s">
        <v>178</v>
      </c>
      <c r="C7" t="s">
        <v>159</v>
      </c>
      <c r="D7" t="s">
        <v>147</v>
      </c>
      <c r="E7" t="s">
        <v>1016</v>
      </c>
      <c r="F7" t="str">
        <f t="shared" si="0"/>
        <v>DHA3425DHA3490DHA6500DHA6840Non</v>
      </c>
      <c r="G7" s="32" t="s">
        <v>194</v>
      </c>
    </row>
    <row r="8" spans="1:7" x14ac:dyDescent="0.35">
      <c r="A8" t="s">
        <v>179</v>
      </c>
      <c r="B8" t="s">
        <v>178</v>
      </c>
      <c r="C8" t="s">
        <v>160</v>
      </c>
      <c r="D8" t="s">
        <v>145</v>
      </c>
      <c r="E8" t="s">
        <v>1015</v>
      </c>
      <c r="F8" t="str">
        <f t="shared" si="0"/>
        <v>DHA3425DHA3490DHA6510DHA6820Oui</v>
      </c>
      <c r="G8" s="32" t="s">
        <v>194</v>
      </c>
    </row>
    <row r="9" spans="1:7" x14ac:dyDescent="0.35">
      <c r="A9" t="s">
        <v>179</v>
      </c>
      <c r="B9" t="s">
        <v>178</v>
      </c>
      <c r="C9" t="s">
        <v>160</v>
      </c>
      <c r="D9" t="s">
        <v>145</v>
      </c>
      <c r="E9" t="s">
        <v>1016</v>
      </c>
      <c r="F9" t="str">
        <f t="shared" si="0"/>
        <v>DHA3425DHA3490DHA6510DHA6820Non</v>
      </c>
      <c r="G9" s="32" t="s">
        <v>194</v>
      </c>
    </row>
    <row r="10" spans="1:7" x14ac:dyDescent="0.35">
      <c r="A10" t="s">
        <v>179</v>
      </c>
      <c r="B10" t="s">
        <v>178</v>
      </c>
      <c r="C10" t="s">
        <v>160</v>
      </c>
      <c r="D10" t="s">
        <v>146</v>
      </c>
      <c r="E10" t="s">
        <v>1015</v>
      </c>
      <c r="F10" t="str">
        <f t="shared" si="0"/>
        <v>DHA3425DHA3490DHA6510DHA6830Oui</v>
      </c>
      <c r="G10" s="32" t="s">
        <v>194</v>
      </c>
    </row>
    <row r="11" spans="1:7" x14ac:dyDescent="0.35">
      <c r="A11" t="s">
        <v>179</v>
      </c>
      <c r="B11" t="s">
        <v>178</v>
      </c>
      <c r="C11" t="s">
        <v>160</v>
      </c>
      <c r="D11" t="s">
        <v>146</v>
      </c>
      <c r="E11" t="s">
        <v>1016</v>
      </c>
      <c r="F11" t="str">
        <f t="shared" si="0"/>
        <v>DHA3425DHA3490DHA6510DHA6830Non</v>
      </c>
      <c r="G11" s="32" t="s">
        <v>194</v>
      </c>
    </row>
    <row r="12" spans="1:7" x14ac:dyDescent="0.35">
      <c r="A12" t="s">
        <v>179</v>
      </c>
      <c r="B12" t="s">
        <v>178</v>
      </c>
      <c r="C12" t="s">
        <v>160</v>
      </c>
      <c r="D12" t="s">
        <v>147</v>
      </c>
      <c r="E12" t="s">
        <v>1015</v>
      </c>
      <c r="F12" t="str">
        <f t="shared" si="0"/>
        <v>DHA3425DHA3490DHA6510DHA6840Oui</v>
      </c>
      <c r="G12" s="32" t="s">
        <v>194</v>
      </c>
    </row>
    <row r="13" spans="1:7" x14ac:dyDescent="0.35">
      <c r="A13" t="s">
        <v>179</v>
      </c>
      <c r="B13" t="s">
        <v>178</v>
      </c>
      <c r="C13" t="s">
        <v>160</v>
      </c>
      <c r="D13" t="s">
        <v>147</v>
      </c>
      <c r="E13" t="s">
        <v>1016</v>
      </c>
      <c r="F13" t="str">
        <f t="shared" si="0"/>
        <v>DHA3425DHA3490DHA6510DHA6840Non</v>
      </c>
      <c r="G13" s="32" t="s">
        <v>194</v>
      </c>
    </row>
    <row r="14" spans="1:7" x14ac:dyDescent="0.35">
      <c r="A14" t="s">
        <v>179</v>
      </c>
      <c r="B14" t="s">
        <v>1043</v>
      </c>
      <c r="C14" t="s">
        <v>159</v>
      </c>
      <c r="D14" t="s">
        <v>145</v>
      </c>
      <c r="E14" t="s">
        <v>1015</v>
      </c>
      <c r="F14" t="str">
        <f t="shared" si="0"/>
        <v>DHA3425AutreDHA6500DHA6820Oui</v>
      </c>
      <c r="G14" s="32">
        <v>13.5</v>
      </c>
    </row>
    <row r="15" spans="1:7" x14ac:dyDescent="0.35">
      <c r="A15" t="s">
        <v>179</v>
      </c>
      <c r="B15" t="s">
        <v>1043</v>
      </c>
      <c r="C15" t="s">
        <v>159</v>
      </c>
      <c r="D15" t="s">
        <v>145</v>
      </c>
      <c r="E15" t="s">
        <v>1016</v>
      </c>
      <c r="F15" t="str">
        <f t="shared" si="0"/>
        <v>DHA3425AutreDHA6500DHA6820Non</v>
      </c>
      <c r="G15" s="32">
        <v>13.5</v>
      </c>
    </row>
    <row r="16" spans="1:7" x14ac:dyDescent="0.35">
      <c r="A16" t="s">
        <v>179</v>
      </c>
      <c r="B16" t="s">
        <v>1043</v>
      </c>
      <c r="C16" t="s">
        <v>159</v>
      </c>
      <c r="D16" t="s">
        <v>146</v>
      </c>
      <c r="E16" t="s">
        <v>1015</v>
      </c>
      <c r="F16" t="str">
        <f t="shared" si="0"/>
        <v>DHA3425AutreDHA6500DHA6830Oui</v>
      </c>
      <c r="G16" s="32">
        <v>13.5</v>
      </c>
    </row>
    <row r="17" spans="1:7" x14ac:dyDescent="0.35">
      <c r="A17" t="s">
        <v>179</v>
      </c>
      <c r="B17" t="s">
        <v>1043</v>
      </c>
      <c r="C17" t="s">
        <v>159</v>
      </c>
      <c r="D17" t="s">
        <v>146</v>
      </c>
      <c r="E17" t="s">
        <v>1016</v>
      </c>
      <c r="F17" t="str">
        <f t="shared" si="0"/>
        <v>DHA3425AutreDHA6500DHA6830Non</v>
      </c>
      <c r="G17" s="32">
        <v>13.5</v>
      </c>
    </row>
    <row r="18" spans="1:7" x14ac:dyDescent="0.35">
      <c r="A18" t="s">
        <v>179</v>
      </c>
      <c r="B18" t="s">
        <v>1043</v>
      </c>
      <c r="C18" t="s">
        <v>159</v>
      </c>
      <c r="D18" t="s">
        <v>147</v>
      </c>
      <c r="E18" t="s">
        <v>1015</v>
      </c>
      <c r="F18" t="str">
        <f t="shared" si="0"/>
        <v>DHA3425AutreDHA6500DHA6840Oui</v>
      </c>
      <c r="G18" s="32">
        <v>11.5</v>
      </c>
    </row>
    <row r="19" spans="1:7" x14ac:dyDescent="0.35">
      <c r="A19" t="s">
        <v>179</v>
      </c>
      <c r="B19" t="s">
        <v>1043</v>
      </c>
      <c r="C19" t="s">
        <v>159</v>
      </c>
      <c r="D19" t="s">
        <v>147</v>
      </c>
      <c r="E19" t="s">
        <v>1016</v>
      </c>
      <c r="F19" t="str">
        <f t="shared" si="0"/>
        <v>DHA3425AutreDHA6500DHA6840Non</v>
      </c>
      <c r="G19" s="32">
        <v>11.5</v>
      </c>
    </row>
    <row r="20" spans="1:7" x14ac:dyDescent="0.35">
      <c r="A20" t="s">
        <v>179</v>
      </c>
      <c r="B20" t="s">
        <v>1043</v>
      </c>
      <c r="C20" t="s">
        <v>160</v>
      </c>
      <c r="D20" t="s">
        <v>145</v>
      </c>
      <c r="E20" t="s">
        <v>1015</v>
      </c>
      <c r="F20" t="str">
        <f t="shared" si="0"/>
        <v>DHA3425AutreDHA6510DHA6820Oui</v>
      </c>
      <c r="G20" s="32">
        <v>6</v>
      </c>
    </row>
    <row r="21" spans="1:7" x14ac:dyDescent="0.35">
      <c r="A21" t="s">
        <v>179</v>
      </c>
      <c r="B21" t="s">
        <v>1043</v>
      </c>
      <c r="C21" t="s">
        <v>160</v>
      </c>
      <c r="D21" t="s">
        <v>145</v>
      </c>
      <c r="E21" t="s">
        <v>1016</v>
      </c>
      <c r="F21" t="str">
        <f t="shared" si="0"/>
        <v>DHA3425AutreDHA6510DHA6820Non</v>
      </c>
      <c r="G21" s="32">
        <v>6</v>
      </c>
    </row>
    <row r="22" spans="1:7" x14ac:dyDescent="0.35">
      <c r="A22" t="s">
        <v>179</v>
      </c>
      <c r="B22" t="s">
        <v>1043</v>
      </c>
      <c r="C22" t="s">
        <v>160</v>
      </c>
      <c r="D22" t="s">
        <v>146</v>
      </c>
      <c r="E22" t="s">
        <v>1015</v>
      </c>
      <c r="F22" t="str">
        <f t="shared" si="0"/>
        <v>DHA3425AutreDHA6510DHA6830Oui</v>
      </c>
      <c r="G22" s="32">
        <v>6</v>
      </c>
    </row>
    <row r="23" spans="1:7" x14ac:dyDescent="0.35">
      <c r="A23" t="s">
        <v>179</v>
      </c>
      <c r="B23" t="s">
        <v>1043</v>
      </c>
      <c r="C23" t="s">
        <v>160</v>
      </c>
      <c r="D23" t="s">
        <v>146</v>
      </c>
      <c r="E23" t="s">
        <v>1016</v>
      </c>
      <c r="F23" t="str">
        <f t="shared" si="0"/>
        <v>DHA3425AutreDHA6510DHA6830Non</v>
      </c>
      <c r="G23" s="32">
        <v>13.5</v>
      </c>
    </row>
    <row r="24" spans="1:7" x14ac:dyDescent="0.35">
      <c r="A24" t="s">
        <v>179</v>
      </c>
      <c r="B24" t="s">
        <v>1043</v>
      </c>
      <c r="C24" t="s">
        <v>160</v>
      </c>
      <c r="D24" t="s">
        <v>147</v>
      </c>
      <c r="E24" t="s">
        <v>1015</v>
      </c>
      <c r="F24" t="str">
        <f t="shared" si="0"/>
        <v>DHA3425AutreDHA6510DHA6840Oui</v>
      </c>
      <c r="G24" s="32">
        <v>11.5</v>
      </c>
    </row>
    <row r="25" spans="1:7" x14ac:dyDescent="0.35">
      <c r="A25" t="s">
        <v>179</v>
      </c>
      <c r="B25" t="s">
        <v>1043</v>
      </c>
      <c r="C25" t="s">
        <v>160</v>
      </c>
      <c r="D25" t="s">
        <v>147</v>
      </c>
      <c r="E25" t="s">
        <v>1016</v>
      </c>
      <c r="F25" t="str">
        <f t="shared" si="0"/>
        <v>DHA3425AutreDHA6510DHA6840Non</v>
      </c>
      <c r="G25" s="32">
        <v>18</v>
      </c>
    </row>
    <row r="26" spans="1:7" x14ac:dyDescent="0.35">
      <c r="A26" t="s">
        <v>150</v>
      </c>
      <c r="B26" t="s">
        <v>178</v>
      </c>
      <c r="C26" t="s">
        <v>159</v>
      </c>
      <c r="D26" t="s">
        <v>145</v>
      </c>
      <c r="E26" t="s">
        <v>1015</v>
      </c>
      <c r="F26" t="str">
        <f t="shared" si="0"/>
        <v>DHA3430DHA3490DHA6500DHA6820Oui</v>
      </c>
      <c r="G26" s="32" t="s">
        <v>194</v>
      </c>
    </row>
    <row r="27" spans="1:7" x14ac:dyDescent="0.35">
      <c r="A27" t="s">
        <v>150</v>
      </c>
      <c r="B27" t="s">
        <v>178</v>
      </c>
      <c r="C27" t="s">
        <v>159</v>
      </c>
      <c r="D27" t="s">
        <v>145</v>
      </c>
      <c r="E27" t="s">
        <v>1016</v>
      </c>
      <c r="F27" t="str">
        <f t="shared" si="0"/>
        <v>DHA3430DHA3490DHA6500DHA6820Non</v>
      </c>
      <c r="G27" s="32" t="s">
        <v>194</v>
      </c>
    </row>
    <row r="28" spans="1:7" x14ac:dyDescent="0.35">
      <c r="A28" t="s">
        <v>150</v>
      </c>
      <c r="B28" t="s">
        <v>178</v>
      </c>
      <c r="C28" t="s">
        <v>159</v>
      </c>
      <c r="D28" t="s">
        <v>146</v>
      </c>
      <c r="E28" t="s">
        <v>1015</v>
      </c>
      <c r="F28" t="str">
        <f t="shared" si="0"/>
        <v>DHA3430DHA3490DHA6500DHA6830Oui</v>
      </c>
      <c r="G28" s="32" t="s">
        <v>194</v>
      </c>
    </row>
    <row r="29" spans="1:7" x14ac:dyDescent="0.35">
      <c r="A29" t="s">
        <v>150</v>
      </c>
      <c r="B29" t="s">
        <v>178</v>
      </c>
      <c r="C29" t="s">
        <v>159</v>
      </c>
      <c r="D29" t="s">
        <v>146</v>
      </c>
      <c r="E29" t="s">
        <v>1016</v>
      </c>
      <c r="F29" t="str">
        <f t="shared" si="0"/>
        <v>DHA3430DHA3490DHA6500DHA6830Non</v>
      </c>
      <c r="G29" s="32" t="s">
        <v>194</v>
      </c>
    </row>
    <row r="30" spans="1:7" x14ac:dyDescent="0.35">
      <c r="A30" t="s">
        <v>150</v>
      </c>
      <c r="B30" t="s">
        <v>178</v>
      </c>
      <c r="C30" t="s">
        <v>159</v>
      </c>
      <c r="D30" t="s">
        <v>147</v>
      </c>
      <c r="E30" t="s">
        <v>1015</v>
      </c>
      <c r="F30" t="str">
        <f t="shared" si="0"/>
        <v>DHA3430DHA3490DHA6500DHA6840Oui</v>
      </c>
      <c r="G30" s="32" t="s">
        <v>194</v>
      </c>
    </row>
    <row r="31" spans="1:7" x14ac:dyDescent="0.35">
      <c r="A31" t="s">
        <v>150</v>
      </c>
      <c r="B31" t="s">
        <v>178</v>
      </c>
      <c r="C31" t="s">
        <v>159</v>
      </c>
      <c r="D31" t="s">
        <v>147</v>
      </c>
      <c r="E31" t="s">
        <v>1016</v>
      </c>
      <c r="F31" t="str">
        <f t="shared" si="0"/>
        <v>DHA3430DHA3490DHA6500DHA6840Non</v>
      </c>
      <c r="G31" s="32" t="s">
        <v>194</v>
      </c>
    </row>
    <row r="32" spans="1:7" x14ac:dyDescent="0.35">
      <c r="A32" t="s">
        <v>150</v>
      </c>
      <c r="B32" t="s">
        <v>178</v>
      </c>
      <c r="C32" t="s">
        <v>160</v>
      </c>
      <c r="D32" t="s">
        <v>145</v>
      </c>
      <c r="E32" t="s">
        <v>1015</v>
      </c>
      <c r="F32" t="str">
        <f t="shared" si="0"/>
        <v>DHA3430DHA3490DHA6510DHA6820Oui</v>
      </c>
      <c r="G32" s="32" t="s">
        <v>194</v>
      </c>
    </row>
    <row r="33" spans="1:7" x14ac:dyDescent="0.35">
      <c r="A33" t="s">
        <v>150</v>
      </c>
      <c r="B33" t="s">
        <v>178</v>
      </c>
      <c r="C33" t="s">
        <v>160</v>
      </c>
      <c r="D33" t="s">
        <v>145</v>
      </c>
      <c r="E33" t="s">
        <v>1016</v>
      </c>
      <c r="F33" t="str">
        <f t="shared" si="0"/>
        <v>DHA3430DHA3490DHA6510DHA6820Non</v>
      </c>
      <c r="G33" s="32" t="s">
        <v>194</v>
      </c>
    </row>
    <row r="34" spans="1:7" x14ac:dyDescent="0.35">
      <c r="A34" t="s">
        <v>150</v>
      </c>
      <c r="B34" t="s">
        <v>178</v>
      </c>
      <c r="C34" t="s">
        <v>160</v>
      </c>
      <c r="D34" t="s">
        <v>146</v>
      </c>
      <c r="E34" t="s">
        <v>1015</v>
      </c>
      <c r="F34" t="str">
        <f t="shared" si="0"/>
        <v>DHA3430DHA3490DHA6510DHA6830Oui</v>
      </c>
      <c r="G34" s="32" t="s">
        <v>194</v>
      </c>
    </row>
    <row r="35" spans="1:7" x14ac:dyDescent="0.35">
      <c r="A35" t="s">
        <v>150</v>
      </c>
      <c r="B35" t="s">
        <v>178</v>
      </c>
      <c r="C35" t="s">
        <v>160</v>
      </c>
      <c r="D35" t="s">
        <v>146</v>
      </c>
      <c r="E35" t="s">
        <v>1016</v>
      </c>
      <c r="F35" t="str">
        <f t="shared" si="0"/>
        <v>DHA3430DHA3490DHA6510DHA6830Non</v>
      </c>
      <c r="G35" s="32" t="s">
        <v>194</v>
      </c>
    </row>
    <row r="36" spans="1:7" x14ac:dyDescent="0.35">
      <c r="A36" t="s">
        <v>150</v>
      </c>
      <c r="B36" t="s">
        <v>178</v>
      </c>
      <c r="C36" t="s">
        <v>160</v>
      </c>
      <c r="D36" t="s">
        <v>147</v>
      </c>
      <c r="E36" t="s">
        <v>1015</v>
      </c>
      <c r="F36" t="str">
        <f t="shared" si="0"/>
        <v>DHA3430DHA3490DHA6510DHA6840Oui</v>
      </c>
      <c r="G36" s="32" t="s">
        <v>194</v>
      </c>
    </row>
    <row r="37" spans="1:7" x14ac:dyDescent="0.35">
      <c r="A37" t="s">
        <v>150</v>
      </c>
      <c r="B37" t="s">
        <v>178</v>
      </c>
      <c r="C37" t="s">
        <v>160</v>
      </c>
      <c r="D37" t="s">
        <v>147</v>
      </c>
      <c r="E37" t="s">
        <v>1016</v>
      </c>
      <c r="F37" t="str">
        <f t="shared" si="0"/>
        <v>DHA3430DHA3490DHA6510DHA6840Non</v>
      </c>
      <c r="G37" s="32" t="s">
        <v>194</v>
      </c>
    </row>
    <row r="38" spans="1:7" x14ac:dyDescent="0.35">
      <c r="A38" t="s">
        <v>150</v>
      </c>
      <c r="B38" t="s">
        <v>1043</v>
      </c>
      <c r="C38" t="s">
        <v>159</v>
      </c>
      <c r="D38" t="s">
        <v>145</v>
      </c>
      <c r="E38" t="s">
        <v>1015</v>
      </c>
      <c r="F38" t="str">
        <f t="shared" si="0"/>
        <v>DHA3430AutreDHA6500DHA6820Oui</v>
      </c>
      <c r="G38" s="32">
        <v>13.5</v>
      </c>
    </row>
    <row r="39" spans="1:7" x14ac:dyDescent="0.35">
      <c r="A39" t="s">
        <v>150</v>
      </c>
      <c r="B39" t="s">
        <v>1043</v>
      </c>
      <c r="C39" t="s">
        <v>159</v>
      </c>
      <c r="D39" t="s">
        <v>145</v>
      </c>
      <c r="E39" t="s">
        <v>1016</v>
      </c>
      <c r="F39" t="str">
        <f t="shared" si="0"/>
        <v>DHA3430AutreDHA6500DHA6820Non</v>
      </c>
      <c r="G39" s="32">
        <v>13.5</v>
      </c>
    </row>
    <row r="40" spans="1:7" x14ac:dyDescent="0.35">
      <c r="A40" t="s">
        <v>150</v>
      </c>
      <c r="B40" t="s">
        <v>1043</v>
      </c>
      <c r="C40" t="s">
        <v>159</v>
      </c>
      <c r="D40" t="s">
        <v>146</v>
      </c>
      <c r="E40" t="s">
        <v>1015</v>
      </c>
      <c r="F40" t="str">
        <f t="shared" si="0"/>
        <v>DHA3430AutreDHA6500DHA6830Oui</v>
      </c>
      <c r="G40" s="32">
        <v>13.5</v>
      </c>
    </row>
    <row r="41" spans="1:7" x14ac:dyDescent="0.35">
      <c r="A41" t="s">
        <v>150</v>
      </c>
      <c r="B41" t="s">
        <v>1043</v>
      </c>
      <c r="C41" t="s">
        <v>159</v>
      </c>
      <c r="D41" t="s">
        <v>146</v>
      </c>
      <c r="E41" t="s">
        <v>1016</v>
      </c>
      <c r="F41" t="str">
        <f t="shared" si="0"/>
        <v>DHA3430AutreDHA6500DHA6830Non</v>
      </c>
      <c r="G41" s="32">
        <v>13.5</v>
      </c>
    </row>
    <row r="42" spans="1:7" x14ac:dyDescent="0.35">
      <c r="A42" t="s">
        <v>150</v>
      </c>
      <c r="B42" t="s">
        <v>1043</v>
      </c>
      <c r="C42" t="s">
        <v>159</v>
      </c>
      <c r="D42" t="s">
        <v>147</v>
      </c>
      <c r="E42" t="s">
        <v>1015</v>
      </c>
      <c r="F42" t="str">
        <f t="shared" si="0"/>
        <v>DHA3430AutreDHA6500DHA6840Oui</v>
      </c>
      <c r="G42" s="32">
        <v>11.5</v>
      </c>
    </row>
    <row r="43" spans="1:7" x14ac:dyDescent="0.35">
      <c r="A43" t="s">
        <v>150</v>
      </c>
      <c r="B43" t="s">
        <v>1043</v>
      </c>
      <c r="C43" t="s">
        <v>159</v>
      </c>
      <c r="D43" t="s">
        <v>147</v>
      </c>
      <c r="E43" t="s">
        <v>1016</v>
      </c>
      <c r="F43" t="str">
        <f t="shared" si="0"/>
        <v>DHA3430AutreDHA6500DHA6840Non</v>
      </c>
      <c r="G43" s="32">
        <v>11.5</v>
      </c>
    </row>
    <row r="44" spans="1:7" x14ac:dyDescent="0.35">
      <c r="A44" t="s">
        <v>150</v>
      </c>
      <c r="B44" t="s">
        <v>1043</v>
      </c>
      <c r="C44" t="s">
        <v>160</v>
      </c>
      <c r="D44" t="s">
        <v>145</v>
      </c>
      <c r="E44" t="s">
        <v>1015</v>
      </c>
      <c r="F44" t="str">
        <f t="shared" si="0"/>
        <v>DHA3430AutreDHA6510DHA6820Oui</v>
      </c>
      <c r="G44" s="32">
        <v>6</v>
      </c>
    </row>
    <row r="45" spans="1:7" x14ac:dyDescent="0.35">
      <c r="A45" t="s">
        <v>150</v>
      </c>
      <c r="B45" t="s">
        <v>1043</v>
      </c>
      <c r="C45" t="s">
        <v>160</v>
      </c>
      <c r="D45" t="s">
        <v>145</v>
      </c>
      <c r="E45" t="s">
        <v>1016</v>
      </c>
      <c r="F45" t="str">
        <f t="shared" si="0"/>
        <v>DHA3430AutreDHA6510DHA6820Non</v>
      </c>
      <c r="G45" s="32">
        <v>6</v>
      </c>
    </row>
    <row r="46" spans="1:7" x14ac:dyDescent="0.35">
      <c r="A46" t="s">
        <v>150</v>
      </c>
      <c r="B46" t="s">
        <v>1043</v>
      </c>
      <c r="C46" t="s">
        <v>160</v>
      </c>
      <c r="D46" t="s">
        <v>146</v>
      </c>
      <c r="E46" t="s">
        <v>1015</v>
      </c>
      <c r="F46" t="str">
        <f t="shared" si="0"/>
        <v>DHA3430AutreDHA6510DHA6830Oui</v>
      </c>
      <c r="G46" s="32">
        <v>6</v>
      </c>
    </row>
    <row r="47" spans="1:7" x14ac:dyDescent="0.35">
      <c r="A47" t="s">
        <v>150</v>
      </c>
      <c r="B47" t="s">
        <v>1043</v>
      </c>
      <c r="C47" t="s">
        <v>160</v>
      </c>
      <c r="D47" t="s">
        <v>146</v>
      </c>
      <c r="E47" t="s">
        <v>1016</v>
      </c>
      <c r="F47" t="str">
        <f t="shared" si="0"/>
        <v>DHA3430AutreDHA6510DHA6830Non</v>
      </c>
      <c r="G47" s="32">
        <v>13.5</v>
      </c>
    </row>
    <row r="48" spans="1:7" x14ac:dyDescent="0.35">
      <c r="A48" t="s">
        <v>150</v>
      </c>
      <c r="B48" t="s">
        <v>1043</v>
      </c>
      <c r="C48" t="s">
        <v>160</v>
      </c>
      <c r="D48" t="s">
        <v>147</v>
      </c>
      <c r="E48" t="s">
        <v>1015</v>
      </c>
      <c r="F48" t="str">
        <f t="shared" si="0"/>
        <v>DHA3430AutreDHA6510DHA6840Oui</v>
      </c>
      <c r="G48" s="32">
        <v>11.5</v>
      </c>
    </row>
    <row r="49" spans="1:7" x14ac:dyDescent="0.35">
      <c r="A49" t="s">
        <v>150</v>
      </c>
      <c r="B49" t="s">
        <v>1043</v>
      </c>
      <c r="C49" t="s">
        <v>160</v>
      </c>
      <c r="D49" t="s">
        <v>147</v>
      </c>
      <c r="E49" t="s">
        <v>1016</v>
      </c>
      <c r="F49" t="str">
        <f t="shared" si="0"/>
        <v>DHA3430AutreDHA6510DHA6840Non</v>
      </c>
      <c r="G49" s="32">
        <v>18</v>
      </c>
    </row>
    <row r="50" spans="1:7" x14ac:dyDescent="0.35">
      <c r="A50" t="s">
        <v>180</v>
      </c>
      <c r="B50" t="s">
        <v>178</v>
      </c>
      <c r="C50" t="s">
        <v>159</v>
      </c>
      <c r="D50" t="s">
        <v>145</v>
      </c>
      <c r="E50" t="s">
        <v>1015</v>
      </c>
      <c r="F50" t="str">
        <f t="shared" si="0"/>
        <v>DHA3440DHA3490DHA6500DHA6820Oui</v>
      </c>
      <c r="G50" s="32" t="s">
        <v>194</v>
      </c>
    </row>
    <row r="51" spans="1:7" x14ac:dyDescent="0.35">
      <c r="A51" t="s">
        <v>180</v>
      </c>
      <c r="B51" t="s">
        <v>178</v>
      </c>
      <c r="C51" t="s">
        <v>159</v>
      </c>
      <c r="D51" t="s">
        <v>145</v>
      </c>
      <c r="E51" t="s">
        <v>1016</v>
      </c>
      <c r="F51" t="str">
        <f t="shared" si="0"/>
        <v>DHA3440DHA3490DHA6500DHA6820Non</v>
      </c>
      <c r="G51" s="32" t="s">
        <v>194</v>
      </c>
    </row>
    <row r="52" spans="1:7" x14ac:dyDescent="0.35">
      <c r="A52" t="s">
        <v>180</v>
      </c>
      <c r="B52" t="s">
        <v>178</v>
      </c>
      <c r="C52" t="s">
        <v>159</v>
      </c>
      <c r="D52" t="s">
        <v>146</v>
      </c>
      <c r="E52" t="s">
        <v>1015</v>
      </c>
      <c r="F52" t="str">
        <f t="shared" si="0"/>
        <v>DHA3440DHA3490DHA6500DHA6830Oui</v>
      </c>
      <c r="G52" s="32" t="s">
        <v>194</v>
      </c>
    </row>
    <row r="53" spans="1:7" x14ac:dyDescent="0.35">
      <c r="A53" t="s">
        <v>180</v>
      </c>
      <c r="B53" t="s">
        <v>178</v>
      </c>
      <c r="C53" t="s">
        <v>159</v>
      </c>
      <c r="D53" t="s">
        <v>146</v>
      </c>
      <c r="E53" t="s">
        <v>1016</v>
      </c>
      <c r="F53" t="str">
        <f t="shared" si="0"/>
        <v>DHA3440DHA3490DHA6500DHA6830Non</v>
      </c>
      <c r="G53" s="32" t="s">
        <v>194</v>
      </c>
    </row>
    <row r="54" spans="1:7" x14ac:dyDescent="0.35">
      <c r="A54" t="s">
        <v>180</v>
      </c>
      <c r="B54" t="s">
        <v>178</v>
      </c>
      <c r="C54" t="s">
        <v>159</v>
      </c>
      <c r="D54" t="s">
        <v>147</v>
      </c>
      <c r="E54" t="s">
        <v>1015</v>
      </c>
      <c r="F54" t="str">
        <f t="shared" si="0"/>
        <v>DHA3440DHA3490DHA6500DHA6840Oui</v>
      </c>
      <c r="G54" s="32" t="s">
        <v>194</v>
      </c>
    </row>
    <row r="55" spans="1:7" x14ac:dyDescent="0.35">
      <c r="A55" t="s">
        <v>180</v>
      </c>
      <c r="B55" t="s">
        <v>178</v>
      </c>
      <c r="C55" t="s">
        <v>159</v>
      </c>
      <c r="D55" t="s">
        <v>147</v>
      </c>
      <c r="E55" t="s">
        <v>1016</v>
      </c>
      <c r="F55" t="str">
        <f t="shared" si="0"/>
        <v>DHA3440DHA3490DHA6500DHA6840Non</v>
      </c>
      <c r="G55" s="32" t="s">
        <v>194</v>
      </c>
    </row>
    <row r="56" spans="1:7" x14ac:dyDescent="0.35">
      <c r="A56" t="s">
        <v>180</v>
      </c>
      <c r="B56" t="s">
        <v>178</v>
      </c>
      <c r="C56" t="s">
        <v>160</v>
      </c>
      <c r="D56" t="s">
        <v>145</v>
      </c>
      <c r="E56" t="s">
        <v>1015</v>
      </c>
      <c r="F56" t="str">
        <f t="shared" si="0"/>
        <v>DHA3440DHA3490DHA6510DHA6820Oui</v>
      </c>
      <c r="G56" s="32" t="s">
        <v>194</v>
      </c>
    </row>
    <row r="57" spans="1:7" x14ac:dyDescent="0.35">
      <c r="A57" t="s">
        <v>180</v>
      </c>
      <c r="B57" t="s">
        <v>178</v>
      </c>
      <c r="C57" t="s">
        <v>160</v>
      </c>
      <c r="D57" t="s">
        <v>145</v>
      </c>
      <c r="E57" t="s">
        <v>1016</v>
      </c>
      <c r="F57" t="str">
        <f t="shared" si="0"/>
        <v>DHA3440DHA3490DHA6510DHA6820Non</v>
      </c>
      <c r="G57" s="32" t="s">
        <v>194</v>
      </c>
    </row>
    <row r="58" spans="1:7" x14ac:dyDescent="0.35">
      <c r="A58" t="s">
        <v>180</v>
      </c>
      <c r="B58" t="s">
        <v>178</v>
      </c>
      <c r="C58" t="s">
        <v>160</v>
      </c>
      <c r="D58" t="s">
        <v>146</v>
      </c>
      <c r="E58" t="s">
        <v>1015</v>
      </c>
      <c r="F58" t="str">
        <f t="shared" si="0"/>
        <v>DHA3440DHA3490DHA6510DHA6830Oui</v>
      </c>
      <c r="G58" s="32" t="s">
        <v>194</v>
      </c>
    </row>
    <row r="59" spans="1:7" x14ac:dyDescent="0.35">
      <c r="A59" t="s">
        <v>180</v>
      </c>
      <c r="B59" t="s">
        <v>178</v>
      </c>
      <c r="C59" t="s">
        <v>160</v>
      </c>
      <c r="D59" t="s">
        <v>146</v>
      </c>
      <c r="E59" t="s">
        <v>1016</v>
      </c>
      <c r="F59" t="str">
        <f t="shared" si="0"/>
        <v>DHA3440DHA3490DHA6510DHA6830Non</v>
      </c>
      <c r="G59" s="32" t="s">
        <v>194</v>
      </c>
    </row>
    <row r="60" spans="1:7" x14ac:dyDescent="0.35">
      <c r="A60" t="s">
        <v>180</v>
      </c>
      <c r="B60" t="s">
        <v>178</v>
      </c>
      <c r="C60" t="s">
        <v>160</v>
      </c>
      <c r="D60" t="s">
        <v>147</v>
      </c>
      <c r="E60" t="s">
        <v>1015</v>
      </c>
      <c r="F60" t="str">
        <f t="shared" si="0"/>
        <v>DHA3440DHA3490DHA6510DHA6840Oui</v>
      </c>
      <c r="G60" s="32" t="s">
        <v>194</v>
      </c>
    </row>
    <row r="61" spans="1:7" x14ac:dyDescent="0.35">
      <c r="A61" t="s">
        <v>180</v>
      </c>
      <c r="B61" t="s">
        <v>178</v>
      </c>
      <c r="C61" t="s">
        <v>160</v>
      </c>
      <c r="D61" t="s">
        <v>147</v>
      </c>
      <c r="E61" t="s">
        <v>1016</v>
      </c>
      <c r="F61" t="str">
        <f t="shared" si="0"/>
        <v>DHA3440DHA3490DHA6510DHA6840Non</v>
      </c>
      <c r="G61" s="32" t="s">
        <v>194</v>
      </c>
    </row>
    <row r="62" spans="1:7" x14ac:dyDescent="0.35">
      <c r="A62" t="s">
        <v>180</v>
      </c>
      <c r="B62" t="s">
        <v>1043</v>
      </c>
      <c r="C62" t="s">
        <v>159</v>
      </c>
      <c r="D62" t="s">
        <v>145</v>
      </c>
      <c r="E62" t="s">
        <v>1015</v>
      </c>
      <c r="F62" t="str">
        <f t="shared" si="0"/>
        <v>DHA3440AutreDHA6500DHA6820Oui</v>
      </c>
      <c r="G62" s="32">
        <v>13.5</v>
      </c>
    </row>
    <row r="63" spans="1:7" x14ac:dyDescent="0.35">
      <c r="A63" t="s">
        <v>180</v>
      </c>
      <c r="B63" t="s">
        <v>1043</v>
      </c>
      <c r="C63" t="s">
        <v>159</v>
      </c>
      <c r="D63" t="s">
        <v>145</v>
      </c>
      <c r="E63" t="s">
        <v>1016</v>
      </c>
      <c r="F63" t="str">
        <f t="shared" si="0"/>
        <v>DHA3440AutreDHA6500DHA6820Non</v>
      </c>
      <c r="G63" s="32">
        <v>13.5</v>
      </c>
    </row>
    <row r="64" spans="1:7" x14ac:dyDescent="0.35">
      <c r="A64" t="s">
        <v>180</v>
      </c>
      <c r="B64" t="s">
        <v>1043</v>
      </c>
      <c r="C64" t="s">
        <v>159</v>
      </c>
      <c r="D64" t="s">
        <v>146</v>
      </c>
      <c r="E64" t="s">
        <v>1015</v>
      </c>
      <c r="F64" t="str">
        <f t="shared" si="0"/>
        <v>DHA3440AutreDHA6500DHA6830Oui</v>
      </c>
      <c r="G64" s="32">
        <v>13.5</v>
      </c>
    </row>
    <row r="65" spans="1:7" x14ac:dyDescent="0.35">
      <c r="A65" t="s">
        <v>180</v>
      </c>
      <c r="B65" t="s">
        <v>1043</v>
      </c>
      <c r="C65" t="s">
        <v>159</v>
      </c>
      <c r="D65" t="s">
        <v>146</v>
      </c>
      <c r="E65" t="s">
        <v>1016</v>
      </c>
      <c r="F65" t="str">
        <f t="shared" si="0"/>
        <v>DHA3440AutreDHA6500DHA6830Non</v>
      </c>
      <c r="G65" s="32">
        <v>20.5</v>
      </c>
    </row>
    <row r="66" spans="1:7" x14ac:dyDescent="0.35">
      <c r="A66" t="s">
        <v>180</v>
      </c>
      <c r="B66" t="s">
        <v>1043</v>
      </c>
      <c r="C66" t="s">
        <v>159</v>
      </c>
      <c r="D66" t="s">
        <v>147</v>
      </c>
      <c r="E66" t="s">
        <v>1015</v>
      </c>
      <c r="F66" t="str">
        <f t="shared" ref="F66:F129" si="1">CONCATENATE(A66,B66,C66,D66,E66)</f>
        <v>DHA3440AutreDHA6500DHA6840Oui</v>
      </c>
      <c r="G66" s="32">
        <v>11.5</v>
      </c>
    </row>
    <row r="67" spans="1:7" x14ac:dyDescent="0.35">
      <c r="A67" t="s">
        <v>180</v>
      </c>
      <c r="B67" t="s">
        <v>1043</v>
      </c>
      <c r="C67" t="s">
        <v>159</v>
      </c>
      <c r="D67" t="s">
        <v>147</v>
      </c>
      <c r="E67" t="s">
        <v>1016</v>
      </c>
      <c r="F67" t="str">
        <f t="shared" si="1"/>
        <v>DHA3440AutreDHA6500DHA6840Non</v>
      </c>
      <c r="G67" s="32">
        <v>11.5</v>
      </c>
    </row>
    <row r="68" spans="1:7" x14ac:dyDescent="0.35">
      <c r="A68" t="s">
        <v>180</v>
      </c>
      <c r="B68" t="s">
        <v>1043</v>
      </c>
      <c r="C68" t="s">
        <v>160</v>
      </c>
      <c r="D68" t="s">
        <v>145</v>
      </c>
      <c r="E68" t="s">
        <v>1015</v>
      </c>
      <c r="F68" t="str">
        <f t="shared" si="1"/>
        <v>DHA3440AutreDHA6510DHA6820Oui</v>
      </c>
      <c r="G68" s="32">
        <v>6</v>
      </c>
    </row>
    <row r="69" spans="1:7" x14ac:dyDescent="0.35">
      <c r="A69" t="s">
        <v>180</v>
      </c>
      <c r="B69" t="s">
        <v>1043</v>
      </c>
      <c r="C69" t="s">
        <v>160</v>
      </c>
      <c r="D69" t="s">
        <v>145</v>
      </c>
      <c r="E69" t="s">
        <v>1016</v>
      </c>
      <c r="F69" t="str">
        <f t="shared" si="1"/>
        <v>DHA3440AutreDHA6510DHA6820Non</v>
      </c>
      <c r="G69" s="32">
        <v>13.5</v>
      </c>
    </row>
    <row r="70" spans="1:7" x14ac:dyDescent="0.35">
      <c r="A70" t="s">
        <v>180</v>
      </c>
      <c r="B70" t="s">
        <v>1043</v>
      </c>
      <c r="C70" t="s">
        <v>160</v>
      </c>
      <c r="D70" t="s">
        <v>146</v>
      </c>
      <c r="E70" t="s">
        <v>1015</v>
      </c>
      <c r="F70" t="str">
        <f t="shared" si="1"/>
        <v>DHA3440AutreDHA6510DHA6830Oui</v>
      </c>
      <c r="G70" s="32">
        <v>6</v>
      </c>
    </row>
    <row r="71" spans="1:7" x14ac:dyDescent="0.35">
      <c r="A71" t="s">
        <v>180</v>
      </c>
      <c r="B71" t="s">
        <v>1043</v>
      </c>
      <c r="C71" t="s">
        <v>160</v>
      </c>
      <c r="D71" t="s">
        <v>146</v>
      </c>
      <c r="E71" t="s">
        <v>1016</v>
      </c>
      <c r="F71" t="str">
        <f t="shared" si="1"/>
        <v>DHA3440AutreDHA6510DHA6830Non</v>
      </c>
      <c r="G71" s="32">
        <v>20.5</v>
      </c>
    </row>
    <row r="72" spans="1:7" x14ac:dyDescent="0.35">
      <c r="A72" t="s">
        <v>180</v>
      </c>
      <c r="B72" t="s">
        <v>1043</v>
      </c>
      <c r="C72" t="s">
        <v>160</v>
      </c>
      <c r="D72" t="s">
        <v>147</v>
      </c>
      <c r="E72" t="s">
        <v>1015</v>
      </c>
      <c r="F72" t="str">
        <f t="shared" si="1"/>
        <v>DHA3440AutreDHA6510DHA6840Oui</v>
      </c>
      <c r="G72" s="32">
        <v>11.5</v>
      </c>
    </row>
    <row r="73" spans="1:7" x14ac:dyDescent="0.35">
      <c r="A73" t="s">
        <v>180</v>
      </c>
      <c r="B73" t="s">
        <v>1043</v>
      </c>
      <c r="C73" t="s">
        <v>160</v>
      </c>
      <c r="D73" t="s">
        <v>147</v>
      </c>
      <c r="E73" t="s">
        <v>1016</v>
      </c>
      <c r="F73" t="str">
        <f t="shared" si="1"/>
        <v>DHA3440AutreDHA6510DHA6840Non</v>
      </c>
      <c r="G73" s="32">
        <v>18</v>
      </c>
    </row>
    <row r="74" spans="1:7" x14ac:dyDescent="0.35">
      <c r="A74" t="s">
        <v>181</v>
      </c>
      <c r="B74" t="s">
        <v>178</v>
      </c>
      <c r="C74" t="s">
        <v>159</v>
      </c>
      <c r="D74" t="s">
        <v>145</v>
      </c>
      <c r="E74" t="s">
        <v>1015</v>
      </c>
      <c r="F74" t="str">
        <f t="shared" si="1"/>
        <v>DHA3450DHA3490DHA6500DHA6820Oui</v>
      </c>
      <c r="G74" s="32" t="s">
        <v>194</v>
      </c>
    </row>
    <row r="75" spans="1:7" x14ac:dyDescent="0.35">
      <c r="A75" t="s">
        <v>181</v>
      </c>
      <c r="B75" t="s">
        <v>178</v>
      </c>
      <c r="C75" t="s">
        <v>159</v>
      </c>
      <c r="D75" t="s">
        <v>145</v>
      </c>
      <c r="E75" t="s">
        <v>1016</v>
      </c>
      <c r="F75" t="str">
        <f t="shared" si="1"/>
        <v>DHA3450DHA3490DHA6500DHA6820Non</v>
      </c>
      <c r="G75" s="32" t="s">
        <v>194</v>
      </c>
    </row>
    <row r="76" spans="1:7" x14ac:dyDescent="0.35">
      <c r="A76" t="s">
        <v>181</v>
      </c>
      <c r="B76" t="s">
        <v>178</v>
      </c>
      <c r="C76" t="s">
        <v>159</v>
      </c>
      <c r="D76" t="s">
        <v>146</v>
      </c>
      <c r="E76" t="s">
        <v>1015</v>
      </c>
      <c r="F76" t="str">
        <f t="shared" si="1"/>
        <v>DHA3450DHA3490DHA6500DHA6830Oui</v>
      </c>
      <c r="G76" s="32" t="s">
        <v>194</v>
      </c>
    </row>
    <row r="77" spans="1:7" x14ac:dyDescent="0.35">
      <c r="A77" t="s">
        <v>181</v>
      </c>
      <c r="B77" t="s">
        <v>178</v>
      </c>
      <c r="C77" t="s">
        <v>159</v>
      </c>
      <c r="D77" t="s">
        <v>146</v>
      </c>
      <c r="E77" t="s">
        <v>1016</v>
      </c>
      <c r="F77" t="str">
        <f t="shared" si="1"/>
        <v>DHA3450DHA3490DHA6500DHA6830Non</v>
      </c>
      <c r="G77" s="32" t="s">
        <v>194</v>
      </c>
    </row>
    <row r="78" spans="1:7" x14ac:dyDescent="0.35">
      <c r="A78" t="s">
        <v>181</v>
      </c>
      <c r="B78" t="s">
        <v>178</v>
      </c>
      <c r="C78" t="s">
        <v>159</v>
      </c>
      <c r="D78" t="s">
        <v>147</v>
      </c>
      <c r="E78" t="s">
        <v>1015</v>
      </c>
      <c r="F78" t="str">
        <f t="shared" si="1"/>
        <v>DHA3450DHA3490DHA6500DHA6840Oui</v>
      </c>
      <c r="G78" s="32" t="s">
        <v>194</v>
      </c>
    </row>
    <row r="79" spans="1:7" x14ac:dyDescent="0.35">
      <c r="A79" t="s">
        <v>181</v>
      </c>
      <c r="B79" t="s">
        <v>178</v>
      </c>
      <c r="C79" t="s">
        <v>159</v>
      </c>
      <c r="D79" t="s">
        <v>147</v>
      </c>
      <c r="E79" t="s">
        <v>1016</v>
      </c>
      <c r="F79" t="str">
        <f t="shared" si="1"/>
        <v>DHA3450DHA3490DHA6500DHA6840Non</v>
      </c>
      <c r="G79" s="32" t="s">
        <v>194</v>
      </c>
    </row>
    <row r="80" spans="1:7" x14ac:dyDescent="0.35">
      <c r="A80" t="s">
        <v>181</v>
      </c>
      <c r="B80" t="s">
        <v>178</v>
      </c>
      <c r="C80" t="s">
        <v>160</v>
      </c>
      <c r="D80" t="s">
        <v>145</v>
      </c>
      <c r="E80" t="s">
        <v>1015</v>
      </c>
      <c r="F80" t="str">
        <f t="shared" si="1"/>
        <v>DHA3450DHA3490DHA6510DHA6820Oui</v>
      </c>
      <c r="G80" s="32" t="s">
        <v>194</v>
      </c>
    </row>
    <row r="81" spans="1:7" x14ac:dyDescent="0.35">
      <c r="A81" t="s">
        <v>181</v>
      </c>
      <c r="B81" t="s">
        <v>178</v>
      </c>
      <c r="C81" t="s">
        <v>160</v>
      </c>
      <c r="D81" t="s">
        <v>145</v>
      </c>
      <c r="E81" t="s">
        <v>1016</v>
      </c>
      <c r="F81" t="str">
        <f t="shared" si="1"/>
        <v>DHA3450DHA3490DHA6510DHA6820Non</v>
      </c>
      <c r="G81" s="32" t="s">
        <v>194</v>
      </c>
    </row>
    <row r="82" spans="1:7" x14ac:dyDescent="0.35">
      <c r="A82" t="s">
        <v>181</v>
      </c>
      <c r="B82" t="s">
        <v>178</v>
      </c>
      <c r="C82" t="s">
        <v>160</v>
      </c>
      <c r="D82" t="s">
        <v>146</v>
      </c>
      <c r="E82" t="s">
        <v>1015</v>
      </c>
      <c r="F82" t="str">
        <f t="shared" si="1"/>
        <v>DHA3450DHA3490DHA6510DHA6830Oui</v>
      </c>
      <c r="G82" s="32" t="s">
        <v>194</v>
      </c>
    </row>
    <row r="83" spans="1:7" x14ac:dyDescent="0.35">
      <c r="A83" t="s">
        <v>181</v>
      </c>
      <c r="B83" t="s">
        <v>178</v>
      </c>
      <c r="C83" t="s">
        <v>160</v>
      </c>
      <c r="D83" t="s">
        <v>146</v>
      </c>
      <c r="E83" t="s">
        <v>1016</v>
      </c>
      <c r="F83" t="str">
        <f t="shared" si="1"/>
        <v>DHA3450DHA3490DHA6510DHA6830Non</v>
      </c>
      <c r="G83" s="32" t="s">
        <v>194</v>
      </c>
    </row>
    <row r="84" spans="1:7" x14ac:dyDescent="0.35">
      <c r="A84" t="s">
        <v>181</v>
      </c>
      <c r="B84" t="s">
        <v>178</v>
      </c>
      <c r="C84" t="s">
        <v>160</v>
      </c>
      <c r="D84" t="s">
        <v>147</v>
      </c>
      <c r="E84" t="s">
        <v>1015</v>
      </c>
      <c r="F84" t="str">
        <f t="shared" si="1"/>
        <v>DHA3450DHA3490DHA6510DHA6840Oui</v>
      </c>
      <c r="G84" s="32" t="s">
        <v>194</v>
      </c>
    </row>
    <row r="85" spans="1:7" x14ac:dyDescent="0.35">
      <c r="A85" t="s">
        <v>181</v>
      </c>
      <c r="B85" t="s">
        <v>178</v>
      </c>
      <c r="C85" t="s">
        <v>160</v>
      </c>
      <c r="D85" t="s">
        <v>147</v>
      </c>
      <c r="E85" t="s">
        <v>1016</v>
      </c>
      <c r="F85" t="str">
        <f t="shared" si="1"/>
        <v>DHA3450DHA3490DHA6510DHA6840Non</v>
      </c>
      <c r="G85" s="32" t="s">
        <v>194</v>
      </c>
    </row>
    <row r="86" spans="1:7" x14ac:dyDescent="0.35">
      <c r="A86" t="s">
        <v>181</v>
      </c>
      <c r="B86" t="s">
        <v>1043</v>
      </c>
      <c r="C86" t="s">
        <v>159</v>
      </c>
      <c r="D86" t="s">
        <v>145</v>
      </c>
      <c r="E86" t="s">
        <v>1015</v>
      </c>
      <c r="F86" t="str">
        <f t="shared" si="1"/>
        <v>DHA3450AutreDHA6500DHA6820Oui</v>
      </c>
      <c r="G86" s="32">
        <v>13.5</v>
      </c>
    </row>
    <row r="87" spans="1:7" x14ac:dyDescent="0.35">
      <c r="A87" t="s">
        <v>181</v>
      </c>
      <c r="B87" t="s">
        <v>1043</v>
      </c>
      <c r="C87" t="s">
        <v>159</v>
      </c>
      <c r="D87" t="s">
        <v>145</v>
      </c>
      <c r="E87" t="s">
        <v>1016</v>
      </c>
      <c r="F87" t="str">
        <f t="shared" si="1"/>
        <v>DHA3450AutreDHA6500DHA6820Non</v>
      </c>
      <c r="G87" s="32">
        <v>13.5</v>
      </c>
    </row>
    <row r="88" spans="1:7" x14ac:dyDescent="0.35">
      <c r="A88" t="s">
        <v>181</v>
      </c>
      <c r="B88" t="s">
        <v>1043</v>
      </c>
      <c r="C88" t="s">
        <v>159</v>
      </c>
      <c r="D88" t="s">
        <v>146</v>
      </c>
      <c r="E88" t="s">
        <v>1015</v>
      </c>
      <c r="F88" t="str">
        <f t="shared" si="1"/>
        <v>DHA3450AutreDHA6500DHA6830Oui</v>
      </c>
      <c r="G88" s="32">
        <v>13.5</v>
      </c>
    </row>
    <row r="89" spans="1:7" x14ac:dyDescent="0.35">
      <c r="A89" t="s">
        <v>181</v>
      </c>
      <c r="B89" t="s">
        <v>1043</v>
      </c>
      <c r="C89" t="s">
        <v>159</v>
      </c>
      <c r="D89" t="s">
        <v>146</v>
      </c>
      <c r="E89" t="s">
        <v>1016</v>
      </c>
      <c r="F89" t="str">
        <f t="shared" si="1"/>
        <v>DHA3450AutreDHA6500DHA6830Non</v>
      </c>
      <c r="G89" s="32">
        <v>20.5</v>
      </c>
    </row>
    <row r="90" spans="1:7" x14ac:dyDescent="0.35">
      <c r="A90" t="s">
        <v>181</v>
      </c>
      <c r="B90" t="s">
        <v>1043</v>
      </c>
      <c r="C90" t="s">
        <v>159</v>
      </c>
      <c r="D90" t="s">
        <v>147</v>
      </c>
      <c r="E90" t="s">
        <v>1015</v>
      </c>
      <c r="F90" t="str">
        <f t="shared" si="1"/>
        <v>DHA3450AutreDHA6500DHA6840Oui</v>
      </c>
      <c r="G90" s="32">
        <v>11.5</v>
      </c>
    </row>
    <row r="91" spans="1:7" x14ac:dyDescent="0.35">
      <c r="A91" t="s">
        <v>181</v>
      </c>
      <c r="B91" t="s">
        <v>1043</v>
      </c>
      <c r="C91" t="s">
        <v>159</v>
      </c>
      <c r="D91" t="s">
        <v>147</v>
      </c>
      <c r="E91" t="s">
        <v>1016</v>
      </c>
      <c r="F91" t="str">
        <f t="shared" si="1"/>
        <v>DHA3450AutreDHA6500DHA6840Non</v>
      </c>
      <c r="G91" s="32">
        <v>11.5</v>
      </c>
    </row>
    <row r="92" spans="1:7" x14ac:dyDescent="0.35">
      <c r="A92" t="s">
        <v>181</v>
      </c>
      <c r="B92" t="s">
        <v>1043</v>
      </c>
      <c r="C92" t="s">
        <v>160</v>
      </c>
      <c r="D92" t="s">
        <v>145</v>
      </c>
      <c r="E92" t="s">
        <v>1015</v>
      </c>
      <c r="F92" t="str">
        <f t="shared" si="1"/>
        <v>DHA3450AutreDHA6510DHA6820Oui</v>
      </c>
      <c r="G92" s="32">
        <v>6</v>
      </c>
    </row>
    <row r="93" spans="1:7" x14ac:dyDescent="0.35">
      <c r="A93" t="s">
        <v>181</v>
      </c>
      <c r="B93" t="s">
        <v>1043</v>
      </c>
      <c r="C93" t="s">
        <v>160</v>
      </c>
      <c r="D93" t="s">
        <v>145</v>
      </c>
      <c r="E93" t="s">
        <v>1016</v>
      </c>
      <c r="F93" t="str">
        <f t="shared" si="1"/>
        <v>DHA3450AutreDHA6510DHA6820Non</v>
      </c>
      <c r="G93" s="32">
        <v>13.5</v>
      </c>
    </row>
    <row r="94" spans="1:7" x14ac:dyDescent="0.35">
      <c r="A94" t="s">
        <v>181</v>
      </c>
      <c r="B94" t="s">
        <v>1043</v>
      </c>
      <c r="C94" t="s">
        <v>160</v>
      </c>
      <c r="D94" t="s">
        <v>146</v>
      </c>
      <c r="E94" t="s">
        <v>1015</v>
      </c>
      <c r="F94" t="str">
        <f t="shared" si="1"/>
        <v>DHA3450AutreDHA6510DHA6830Oui</v>
      </c>
      <c r="G94" s="32">
        <v>6</v>
      </c>
    </row>
    <row r="95" spans="1:7" x14ac:dyDescent="0.35">
      <c r="A95" t="s">
        <v>181</v>
      </c>
      <c r="B95" t="s">
        <v>1043</v>
      </c>
      <c r="C95" t="s">
        <v>160</v>
      </c>
      <c r="D95" t="s">
        <v>146</v>
      </c>
      <c r="E95" t="s">
        <v>1016</v>
      </c>
      <c r="F95" t="str">
        <f t="shared" si="1"/>
        <v>DHA3450AutreDHA6510DHA6830Non</v>
      </c>
      <c r="G95" s="32">
        <v>20.5</v>
      </c>
    </row>
    <row r="96" spans="1:7" x14ac:dyDescent="0.35">
      <c r="A96" t="s">
        <v>181</v>
      </c>
      <c r="B96" t="s">
        <v>1043</v>
      </c>
      <c r="C96" t="s">
        <v>160</v>
      </c>
      <c r="D96" t="s">
        <v>147</v>
      </c>
      <c r="E96" t="s">
        <v>1015</v>
      </c>
      <c r="F96" t="str">
        <f t="shared" si="1"/>
        <v>DHA3450AutreDHA6510DHA6840Oui</v>
      </c>
      <c r="G96" s="32">
        <v>11.5</v>
      </c>
    </row>
    <row r="97" spans="1:7" x14ac:dyDescent="0.35">
      <c r="A97" t="s">
        <v>181</v>
      </c>
      <c r="B97" t="s">
        <v>1043</v>
      </c>
      <c r="C97" t="s">
        <v>160</v>
      </c>
      <c r="D97" t="s">
        <v>147</v>
      </c>
      <c r="E97" t="s">
        <v>1016</v>
      </c>
      <c r="F97" t="str">
        <f t="shared" si="1"/>
        <v>DHA3450AutreDHA6510DHA6840Non</v>
      </c>
      <c r="G97" s="32">
        <v>18</v>
      </c>
    </row>
    <row r="98" spans="1:7" x14ac:dyDescent="0.35">
      <c r="A98" t="s">
        <v>1043</v>
      </c>
      <c r="B98" t="s">
        <v>178</v>
      </c>
      <c r="C98" t="s">
        <v>159</v>
      </c>
      <c r="D98" t="s">
        <v>145</v>
      </c>
      <c r="E98" t="s">
        <v>1015</v>
      </c>
      <c r="F98" t="str">
        <f t="shared" si="1"/>
        <v>AutreDHA3490DHA6500DHA6820Oui</v>
      </c>
      <c r="G98" s="32">
        <v>13.5</v>
      </c>
    </row>
    <row r="99" spans="1:7" x14ac:dyDescent="0.35">
      <c r="A99" t="s">
        <v>1043</v>
      </c>
      <c r="B99" t="s">
        <v>178</v>
      </c>
      <c r="C99" t="s">
        <v>159</v>
      </c>
      <c r="D99" t="s">
        <v>145</v>
      </c>
      <c r="E99" t="s">
        <v>1016</v>
      </c>
      <c r="F99" t="str">
        <f t="shared" si="1"/>
        <v>AutreDHA3490DHA6500DHA6820Non</v>
      </c>
      <c r="G99" s="32">
        <v>13.5</v>
      </c>
    </row>
    <row r="100" spans="1:7" x14ac:dyDescent="0.35">
      <c r="A100" t="s">
        <v>1043</v>
      </c>
      <c r="B100" t="s">
        <v>178</v>
      </c>
      <c r="C100" t="s">
        <v>159</v>
      </c>
      <c r="D100" t="s">
        <v>146</v>
      </c>
      <c r="E100" t="s">
        <v>1015</v>
      </c>
      <c r="F100" t="str">
        <f t="shared" si="1"/>
        <v>AutreDHA3490DHA6500DHA6830Oui</v>
      </c>
      <c r="G100" s="32">
        <v>13.5</v>
      </c>
    </row>
    <row r="101" spans="1:7" x14ac:dyDescent="0.35">
      <c r="A101" t="s">
        <v>1043</v>
      </c>
      <c r="B101" t="s">
        <v>178</v>
      </c>
      <c r="C101" t="s">
        <v>159</v>
      </c>
      <c r="D101" t="s">
        <v>146</v>
      </c>
      <c r="E101" t="s">
        <v>1016</v>
      </c>
      <c r="F101" t="str">
        <f t="shared" si="1"/>
        <v>AutreDHA3490DHA6500DHA6830Non</v>
      </c>
      <c r="G101" s="32">
        <v>13.5</v>
      </c>
    </row>
    <row r="102" spans="1:7" x14ac:dyDescent="0.35">
      <c r="A102" t="s">
        <v>1043</v>
      </c>
      <c r="B102" t="s">
        <v>178</v>
      </c>
      <c r="C102" t="s">
        <v>159</v>
      </c>
      <c r="D102" t="s">
        <v>147</v>
      </c>
      <c r="E102" t="s">
        <v>1015</v>
      </c>
      <c r="F102" t="str">
        <f t="shared" si="1"/>
        <v>AutreDHA3490DHA6500DHA6840Oui</v>
      </c>
      <c r="G102" s="32">
        <v>11.5</v>
      </c>
    </row>
    <row r="103" spans="1:7" x14ac:dyDescent="0.35">
      <c r="A103" t="s">
        <v>1043</v>
      </c>
      <c r="B103" t="s">
        <v>178</v>
      </c>
      <c r="C103" t="s">
        <v>159</v>
      </c>
      <c r="D103" t="s">
        <v>147</v>
      </c>
      <c r="E103" t="s">
        <v>1016</v>
      </c>
      <c r="F103" t="str">
        <f t="shared" si="1"/>
        <v>AutreDHA3490DHA6500DHA6840Non</v>
      </c>
      <c r="G103" s="32">
        <v>11.5</v>
      </c>
    </row>
    <row r="104" spans="1:7" x14ac:dyDescent="0.35">
      <c r="A104" t="s">
        <v>1043</v>
      </c>
      <c r="B104" t="s">
        <v>178</v>
      </c>
      <c r="C104" t="s">
        <v>160</v>
      </c>
      <c r="D104" t="s">
        <v>145</v>
      </c>
      <c r="E104" t="s">
        <v>1015</v>
      </c>
      <c r="F104" t="str">
        <f t="shared" si="1"/>
        <v>AutreDHA3490DHA6510DHA6820Oui</v>
      </c>
      <c r="G104" s="32">
        <v>6</v>
      </c>
    </row>
    <row r="105" spans="1:7" x14ac:dyDescent="0.35">
      <c r="A105" t="s">
        <v>1043</v>
      </c>
      <c r="B105" t="s">
        <v>178</v>
      </c>
      <c r="C105" t="s">
        <v>160</v>
      </c>
      <c r="D105" t="s">
        <v>145</v>
      </c>
      <c r="E105" t="s">
        <v>1016</v>
      </c>
      <c r="F105" t="str">
        <f t="shared" si="1"/>
        <v>AutreDHA3490DHA6510DHA6820Non</v>
      </c>
      <c r="G105" s="32">
        <v>13.5</v>
      </c>
    </row>
    <row r="106" spans="1:7" x14ac:dyDescent="0.35">
      <c r="A106" t="s">
        <v>1043</v>
      </c>
      <c r="B106" t="s">
        <v>178</v>
      </c>
      <c r="C106" t="s">
        <v>160</v>
      </c>
      <c r="D106" t="s">
        <v>146</v>
      </c>
      <c r="E106" t="s">
        <v>1015</v>
      </c>
      <c r="F106" t="str">
        <f t="shared" si="1"/>
        <v>AutreDHA3490DHA6510DHA6830Oui</v>
      </c>
      <c r="G106" s="32">
        <v>6</v>
      </c>
    </row>
    <row r="107" spans="1:7" x14ac:dyDescent="0.35">
      <c r="A107" t="s">
        <v>1043</v>
      </c>
      <c r="B107" t="s">
        <v>178</v>
      </c>
      <c r="C107" t="s">
        <v>160</v>
      </c>
      <c r="D107" t="s">
        <v>146</v>
      </c>
      <c r="E107" t="s">
        <v>1016</v>
      </c>
      <c r="F107" t="str">
        <f t="shared" si="1"/>
        <v>AutreDHA3490DHA6510DHA6830Non</v>
      </c>
      <c r="G107" s="32">
        <v>20.5</v>
      </c>
    </row>
    <row r="108" spans="1:7" x14ac:dyDescent="0.35">
      <c r="A108" t="s">
        <v>1043</v>
      </c>
      <c r="B108" t="s">
        <v>178</v>
      </c>
      <c r="C108" t="s">
        <v>160</v>
      </c>
      <c r="D108" t="s">
        <v>147</v>
      </c>
      <c r="E108" t="s">
        <v>1015</v>
      </c>
      <c r="F108" t="str">
        <f t="shared" si="1"/>
        <v>AutreDHA3490DHA6510DHA6840Oui</v>
      </c>
      <c r="G108" s="32">
        <v>11.5</v>
      </c>
    </row>
    <row r="109" spans="1:7" x14ac:dyDescent="0.35">
      <c r="A109" t="s">
        <v>1043</v>
      </c>
      <c r="B109" t="s">
        <v>178</v>
      </c>
      <c r="C109" t="s">
        <v>160</v>
      </c>
      <c r="D109" t="s">
        <v>147</v>
      </c>
      <c r="E109" t="s">
        <v>1016</v>
      </c>
      <c r="F109" t="str">
        <f t="shared" si="1"/>
        <v>AutreDHA3490DHA6510DHA6840Non</v>
      </c>
      <c r="G109" s="32">
        <v>18</v>
      </c>
    </row>
    <row r="110" spans="1:7" x14ac:dyDescent="0.35">
      <c r="A110" t="s">
        <v>1043</v>
      </c>
      <c r="B110" t="s">
        <v>1043</v>
      </c>
      <c r="C110" t="s">
        <v>159</v>
      </c>
      <c r="D110" t="s">
        <v>145</v>
      </c>
      <c r="E110" t="s">
        <v>1015</v>
      </c>
      <c r="F110" t="str">
        <f t="shared" si="1"/>
        <v>AutreAutreDHA6500DHA6820Oui</v>
      </c>
      <c r="G110" s="32">
        <v>13.5</v>
      </c>
    </row>
    <row r="111" spans="1:7" x14ac:dyDescent="0.35">
      <c r="A111" t="s">
        <v>1043</v>
      </c>
      <c r="B111" t="s">
        <v>1043</v>
      </c>
      <c r="C111" t="s">
        <v>159</v>
      </c>
      <c r="D111" t="s">
        <v>145</v>
      </c>
      <c r="E111" t="s">
        <v>1016</v>
      </c>
      <c r="F111" t="str">
        <f t="shared" si="1"/>
        <v>AutreAutreDHA6500DHA6820Non</v>
      </c>
      <c r="G111" s="32">
        <v>13.5</v>
      </c>
    </row>
    <row r="112" spans="1:7" x14ac:dyDescent="0.35">
      <c r="A112" t="s">
        <v>1043</v>
      </c>
      <c r="B112" t="s">
        <v>1043</v>
      </c>
      <c r="C112" t="s">
        <v>159</v>
      </c>
      <c r="D112" t="s">
        <v>146</v>
      </c>
      <c r="E112" t="s">
        <v>1015</v>
      </c>
      <c r="F112" t="str">
        <f t="shared" si="1"/>
        <v>AutreAutreDHA6500DHA6830Oui</v>
      </c>
      <c r="G112" s="32">
        <v>13.5</v>
      </c>
    </row>
    <row r="113" spans="1:7" x14ac:dyDescent="0.35">
      <c r="A113" t="s">
        <v>1043</v>
      </c>
      <c r="B113" t="s">
        <v>1043</v>
      </c>
      <c r="C113" t="s">
        <v>159</v>
      </c>
      <c r="D113" t="s">
        <v>146</v>
      </c>
      <c r="E113" t="s">
        <v>1016</v>
      </c>
      <c r="F113" t="str">
        <f t="shared" si="1"/>
        <v>AutreAutreDHA6500DHA6830Non</v>
      </c>
      <c r="G113" s="32">
        <v>13.5</v>
      </c>
    </row>
    <row r="114" spans="1:7" x14ac:dyDescent="0.35">
      <c r="A114" t="s">
        <v>1043</v>
      </c>
      <c r="B114" t="s">
        <v>1043</v>
      </c>
      <c r="C114" t="s">
        <v>159</v>
      </c>
      <c r="D114" t="s">
        <v>147</v>
      </c>
      <c r="E114" t="s">
        <v>1015</v>
      </c>
      <c r="F114" t="str">
        <f t="shared" si="1"/>
        <v>AutreAutreDHA6500DHA6840Oui</v>
      </c>
      <c r="G114" s="32">
        <v>11.5</v>
      </c>
    </row>
    <row r="115" spans="1:7" x14ac:dyDescent="0.35">
      <c r="A115" t="s">
        <v>1043</v>
      </c>
      <c r="B115" t="s">
        <v>1043</v>
      </c>
      <c r="C115" t="s">
        <v>159</v>
      </c>
      <c r="D115" t="s">
        <v>147</v>
      </c>
      <c r="E115" t="s">
        <v>1016</v>
      </c>
      <c r="F115" t="str">
        <f t="shared" si="1"/>
        <v>AutreAutreDHA6500DHA6840Non</v>
      </c>
      <c r="G115" s="32">
        <v>11.5</v>
      </c>
    </row>
    <row r="116" spans="1:7" x14ac:dyDescent="0.35">
      <c r="A116" t="s">
        <v>1043</v>
      </c>
      <c r="B116" t="s">
        <v>1043</v>
      </c>
      <c r="C116" t="s">
        <v>160</v>
      </c>
      <c r="D116" t="s">
        <v>145</v>
      </c>
      <c r="E116" t="s">
        <v>1015</v>
      </c>
      <c r="F116" t="str">
        <f t="shared" si="1"/>
        <v>AutreAutreDHA6510DHA6820Oui</v>
      </c>
      <c r="G116" s="32">
        <v>6</v>
      </c>
    </row>
    <row r="117" spans="1:7" x14ac:dyDescent="0.35">
      <c r="A117" t="s">
        <v>1043</v>
      </c>
      <c r="B117" t="s">
        <v>1043</v>
      </c>
      <c r="C117" t="s">
        <v>160</v>
      </c>
      <c r="D117" t="s">
        <v>145</v>
      </c>
      <c r="E117" t="s">
        <v>1016</v>
      </c>
      <c r="F117" t="str">
        <f t="shared" si="1"/>
        <v>AutreAutreDHA6510DHA6820Non</v>
      </c>
      <c r="G117" s="32">
        <v>6</v>
      </c>
    </row>
    <row r="118" spans="1:7" x14ac:dyDescent="0.35">
      <c r="A118" t="s">
        <v>1043</v>
      </c>
      <c r="B118" t="s">
        <v>1043</v>
      </c>
      <c r="C118" t="s">
        <v>160</v>
      </c>
      <c r="D118" t="s">
        <v>146</v>
      </c>
      <c r="E118" t="s">
        <v>1015</v>
      </c>
      <c r="F118" t="str">
        <f t="shared" si="1"/>
        <v>AutreAutreDHA6510DHA6830Oui</v>
      </c>
      <c r="G118" s="32">
        <v>6</v>
      </c>
    </row>
    <row r="119" spans="1:7" x14ac:dyDescent="0.35">
      <c r="A119" t="s">
        <v>1043</v>
      </c>
      <c r="B119" t="s">
        <v>1043</v>
      </c>
      <c r="C119" t="s">
        <v>160</v>
      </c>
      <c r="D119" t="s">
        <v>146</v>
      </c>
      <c r="E119" t="s">
        <v>1016</v>
      </c>
      <c r="F119" t="str">
        <f t="shared" si="1"/>
        <v>AutreAutreDHA6510DHA6830Non</v>
      </c>
      <c r="G119" s="32">
        <v>6</v>
      </c>
    </row>
    <row r="120" spans="1:7" x14ac:dyDescent="0.35">
      <c r="A120" t="s">
        <v>1043</v>
      </c>
      <c r="B120" t="s">
        <v>1043</v>
      </c>
      <c r="C120" t="s">
        <v>160</v>
      </c>
      <c r="D120" t="s">
        <v>147</v>
      </c>
      <c r="E120" t="s">
        <v>1015</v>
      </c>
      <c r="F120" t="str">
        <f t="shared" si="1"/>
        <v>AutreAutreDHA6510DHA6840Oui</v>
      </c>
      <c r="G120" s="32">
        <v>11.5</v>
      </c>
    </row>
    <row r="121" spans="1:7" x14ac:dyDescent="0.35">
      <c r="A121" t="s">
        <v>1043</v>
      </c>
      <c r="B121" t="s">
        <v>1043</v>
      </c>
      <c r="C121" t="s">
        <v>160</v>
      </c>
      <c r="D121" t="s">
        <v>147</v>
      </c>
      <c r="E121" t="s">
        <v>1016</v>
      </c>
      <c r="F121" t="str">
        <f t="shared" si="1"/>
        <v>AutreAutreDHA6510DHA6840Non</v>
      </c>
      <c r="G121" s="32">
        <v>18</v>
      </c>
    </row>
    <row r="122" spans="1:7" x14ac:dyDescent="0.35">
      <c r="A122" t="s">
        <v>179</v>
      </c>
      <c r="B122" t="s">
        <v>178</v>
      </c>
      <c r="C122" t="s">
        <v>161</v>
      </c>
      <c r="D122" t="s">
        <v>145</v>
      </c>
      <c r="E122" t="s">
        <v>1015</v>
      </c>
      <c r="F122" t="str">
        <f t="shared" si="1"/>
        <v>DHA3425DHA3490DHA6520DHA6820Oui</v>
      </c>
      <c r="G122" s="32" t="s">
        <v>194</v>
      </c>
    </row>
    <row r="123" spans="1:7" x14ac:dyDescent="0.35">
      <c r="A123" t="s">
        <v>179</v>
      </c>
      <c r="B123" t="s">
        <v>178</v>
      </c>
      <c r="C123" t="s">
        <v>161</v>
      </c>
      <c r="D123" t="s">
        <v>145</v>
      </c>
      <c r="E123" t="s">
        <v>1016</v>
      </c>
      <c r="F123" t="str">
        <f t="shared" si="1"/>
        <v>DHA3425DHA3490DHA6520DHA6820Non</v>
      </c>
      <c r="G123" s="32" t="s">
        <v>194</v>
      </c>
    </row>
    <row r="124" spans="1:7" x14ac:dyDescent="0.35">
      <c r="A124" t="s">
        <v>179</v>
      </c>
      <c r="B124" t="s">
        <v>178</v>
      </c>
      <c r="C124" t="s">
        <v>161</v>
      </c>
      <c r="D124" t="s">
        <v>146</v>
      </c>
      <c r="E124" t="s">
        <v>1015</v>
      </c>
      <c r="F124" t="str">
        <f t="shared" si="1"/>
        <v>DHA3425DHA3490DHA6520DHA6830Oui</v>
      </c>
      <c r="G124" s="32" t="s">
        <v>194</v>
      </c>
    </row>
    <row r="125" spans="1:7" x14ac:dyDescent="0.35">
      <c r="A125" t="s">
        <v>179</v>
      </c>
      <c r="B125" t="s">
        <v>178</v>
      </c>
      <c r="C125" t="s">
        <v>161</v>
      </c>
      <c r="D125" t="s">
        <v>146</v>
      </c>
      <c r="E125" t="s">
        <v>1016</v>
      </c>
      <c r="F125" t="str">
        <f t="shared" si="1"/>
        <v>DHA3425DHA3490DHA6520DHA6830Non</v>
      </c>
      <c r="G125" s="32" t="s">
        <v>194</v>
      </c>
    </row>
    <row r="126" spans="1:7" x14ac:dyDescent="0.35">
      <c r="A126" t="s">
        <v>179</v>
      </c>
      <c r="B126" t="s">
        <v>178</v>
      </c>
      <c r="C126" t="s">
        <v>161</v>
      </c>
      <c r="D126" t="s">
        <v>147</v>
      </c>
      <c r="E126" t="s">
        <v>1015</v>
      </c>
      <c r="F126" t="str">
        <f t="shared" si="1"/>
        <v>DHA3425DHA3490DHA6520DHA6840Oui</v>
      </c>
      <c r="G126" s="32" t="s">
        <v>194</v>
      </c>
    </row>
    <row r="127" spans="1:7" x14ac:dyDescent="0.35">
      <c r="A127" t="s">
        <v>179</v>
      </c>
      <c r="B127" t="s">
        <v>178</v>
      </c>
      <c r="C127" t="s">
        <v>161</v>
      </c>
      <c r="D127" t="s">
        <v>147</v>
      </c>
      <c r="E127" t="s">
        <v>1016</v>
      </c>
      <c r="F127" t="str">
        <f t="shared" si="1"/>
        <v>DHA3425DHA3490DHA6520DHA6840Non</v>
      </c>
      <c r="G127" s="32" t="s">
        <v>194</v>
      </c>
    </row>
    <row r="128" spans="1:7" x14ac:dyDescent="0.35">
      <c r="A128" t="s">
        <v>179</v>
      </c>
      <c r="B128" t="s">
        <v>1043</v>
      </c>
      <c r="C128" t="s">
        <v>161</v>
      </c>
      <c r="D128" t="s">
        <v>145</v>
      </c>
      <c r="E128" t="s">
        <v>1015</v>
      </c>
      <c r="F128" t="str">
        <f t="shared" si="1"/>
        <v>DHA3425AutreDHA6520DHA6820Oui</v>
      </c>
      <c r="G128" s="32">
        <v>6</v>
      </c>
    </row>
    <row r="129" spans="1:7" x14ac:dyDescent="0.35">
      <c r="A129" t="s">
        <v>179</v>
      </c>
      <c r="B129" t="s">
        <v>1043</v>
      </c>
      <c r="C129" t="s">
        <v>161</v>
      </c>
      <c r="D129" t="s">
        <v>145</v>
      </c>
      <c r="E129" t="s">
        <v>1016</v>
      </c>
      <c r="F129" t="str">
        <f t="shared" si="1"/>
        <v>DHA3425AutreDHA6520DHA6820Non</v>
      </c>
      <c r="G129" s="32">
        <v>6</v>
      </c>
    </row>
    <row r="130" spans="1:7" x14ac:dyDescent="0.35">
      <c r="A130" t="s">
        <v>179</v>
      </c>
      <c r="B130" t="s">
        <v>1043</v>
      </c>
      <c r="C130" t="s">
        <v>161</v>
      </c>
      <c r="D130" t="s">
        <v>146</v>
      </c>
      <c r="E130" t="s">
        <v>1015</v>
      </c>
      <c r="F130" t="str">
        <f t="shared" ref="F130:F193" si="2">CONCATENATE(A130,B130,C130,D130,E130)</f>
        <v>DHA3425AutreDHA6520DHA6830Oui</v>
      </c>
      <c r="G130" s="32">
        <v>6</v>
      </c>
    </row>
    <row r="131" spans="1:7" x14ac:dyDescent="0.35">
      <c r="A131" t="s">
        <v>179</v>
      </c>
      <c r="B131" t="s">
        <v>1043</v>
      </c>
      <c r="C131" t="s">
        <v>161</v>
      </c>
      <c r="D131" t="s">
        <v>146</v>
      </c>
      <c r="E131" t="s">
        <v>1016</v>
      </c>
      <c r="F131" t="str">
        <f t="shared" si="2"/>
        <v>DHA3425AutreDHA6520DHA6830Non</v>
      </c>
      <c r="G131" s="32">
        <v>13.5</v>
      </c>
    </row>
    <row r="132" spans="1:7" x14ac:dyDescent="0.35">
      <c r="A132" t="s">
        <v>179</v>
      </c>
      <c r="B132" t="s">
        <v>1043</v>
      </c>
      <c r="C132" t="s">
        <v>161</v>
      </c>
      <c r="D132" t="s">
        <v>147</v>
      </c>
      <c r="E132" t="s">
        <v>1015</v>
      </c>
      <c r="F132" t="str">
        <f t="shared" si="2"/>
        <v>DHA3425AutreDHA6520DHA6840Oui</v>
      </c>
      <c r="G132" s="32">
        <v>11.5</v>
      </c>
    </row>
    <row r="133" spans="1:7" x14ac:dyDescent="0.35">
      <c r="A133" t="s">
        <v>179</v>
      </c>
      <c r="B133" t="s">
        <v>1043</v>
      </c>
      <c r="C133" t="s">
        <v>161</v>
      </c>
      <c r="D133" t="s">
        <v>147</v>
      </c>
      <c r="E133" t="s">
        <v>1016</v>
      </c>
      <c r="F133" t="str">
        <f t="shared" si="2"/>
        <v>DHA3425AutreDHA6520DHA6840Non</v>
      </c>
      <c r="G133" s="32">
        <v>18</v>
      </c>
    </row>
    <row r="134" spans="1:7" x14ac:dyDescent="0.35">
      <c r="A134" t="s">
        <v>150</v>
      </c>
      <c r="B134" t="s">
        <v>178</v>
      </c>
      <c r="C134" t="s">
        <v>161</v>
      </c>
      <c r="D134" t="s">
        <v>145</v>
      </c>
      <c r="E134" t="s">
        <v>1015</v>
      </c>
      <c r="F134" t="str">
        <f t="shared" si="2"/>
        <v>DHA3430DHA3490DHA6520DHA6820Oui</v>
      </c>
      <c r="G134" s="32" t="s">
        <v>194</v>
      </c>
    </row>
    <row r="135" spans="1:7" x14ac:dyDescent="0.35">
      <c r="A135" t="s">
        <v>150</v>
      </c>
      <c r="B135" t="s">
        <v>178</v>
      </c>
      <c r="C135" t="s">
        <v>161</v>
      </c>
      <c r="D135" t="s">
        <v>145</v>
      </c>
      <c r="E135" t="s">
        <v>1016</v>
      </c>
      <c r="F135" t="str">
        <f t="shared" si="2"/>
        <v>DHA3430DHA3490DHA6520DHA6820Non</v>
      </c>
      <c r="G135" s="32" t="s">
        <v>194</v>
      </c>
    </row>
    <row r="136" spans="1:7" x14ac:dyDescent="0.35">
      <c r="A136" t="s">
        <v>150</v>
      </c>
      <c r="B136" t="s">
        <v>178</v>
      </c>
      <c r="C136" t="s">
        <v>161</v>
      </c>
      <c r="D136" t="s">
        <v>146</v>
      </c>
      <c r="E136" t="s">
        <v>1015</v>
      </c>
      <c r="F136" t="str">
        <f t="shared" si="2"/>
        <v>DHA3430DHA3490DHA6520DHA6830Oui</v>
      </c>
      <c r="G136" s="32" t="s">
        <v>194</v>
      </c>
    </row>
    <row r="137" spans="1:7" x14ac:dyDescent="0.35">
      <c r="A137" t="s">
        <v>150</v>
      </c>
      <c r="B137" t="s">
        <v>178</v>
      </c>
      <c r="C137" t="s">
        <v>161</v>
      </c>
      <c r="D137" t="s">
        <v>146</v>
      </c>
      <c r="E137" t="s">
        <v>1016</v>
      </c>
      <c r="F137" t="str">
        <f t="shared" si="2"/>
        <v>DHA3430DHA3490DHA6520DHA6830Non</v>
      </c>
      <c r="G137" s="32" t="s">
        <v>194</v>
      </c>
    </row>
    <row r="138" spans="1:7" x14ac:dyDescent="0.35">
      <c r="A138" t="s">
        <v>150</v>
      </c>
      <c r="B138" t="s">
        <v>178</v>
      </c>
      <c r="C138" t="s">
        <v>161</v>
      </c>
      <c r="D138" t="s">
        <v>147</v>
      </c>
      <c r="E138" t="s">
        <v>1015</v>
      </c>
      <c r="F138" t="str">
        <f t="shared" si="2"/>
        <v>DHA3430DHA3490DHA6520DHA6840Oui</v>
      </c>
      <c r="G138" s="32" t="s">
        <v>194</v>
      </c>
    </row>
    <row r="139" spans="1:7" x14ac:dyDescent="0.35">
      <c r="A139" t="s">
        <v>150</v>
      </c>
      <c r="B139" t="s">
        <v>178</v>
      </c>
      <c r="C139" t="s">
        <v>161</v>
      </c>
      <c r="D139" t="s">
        <v>147</v>
      </c>
      <c r="E139" t="s">
        <v>1016</v>
      </c>
      <c r="F139" t="str">
        <f t="shared" si="2"/>
        <v>DHA3430DHA3490DHA6520DHA6840Non</v>
      </c>
      <c r="G139" s="32" t="s">
        <v>194</v>
      </c>
    </row>
    <row r="140" spans="1:7" x14ac:dyDescent="0.35">
      <c r="A140" t="s">
        <v>150</v>
      </c>
      <c r="B140" t="s">
        <v>1043</v>
      </c>
      <c r="C140" t="s">
        <v>161</v>
      </c>
      <c r="D140" t="s">
        <v>145</v>
      </c>
      <c r="E140" t="s">
        <v>1015</v>
      </c>
      <c r="F140" t="str">
        <f t="shared" si="2"/>
        <v>DHA3430AutreDHA6520DHA6820Oui</v>
      </c>
      <c r="G140" s="32">
        <v>6</v>
      </c>
    </row>
    <row r="141" spans="1:7" x14ac:dyDescent="0.35">
      <c r="A141" t="s">
        <v>150</v>
      </c>
      <c r="B141" t="s">
        <v>1043</v>
      </c>
      <c r="C141" t="s">
        <v>161</v>
      </c>
      <c r="D141" t="s">
        <v>145</v>
      </c>
      <c r="E141" t="s">
        <v>1016</v>
      </c>
      <c r="F141" t="str">
        <f t="shared" si="2"/>
        <v>DHA3430AutreDHA6520DHA6820Non</v>
      </c>
      <c r="G141" s="32">
        <v>6</v>
      </c>
    </row>
    <row r="142" spans="1:7" x14ac:dyDescent="0.35">
      <c r="A142" t="s">
        <v>150</v>
      </c>
      <c r="B142" t="s">
        <v>1043</v>
      </c>
      <c r="C142" t="s">
        <v>161</v>
      </c>
      <c r="D142" t="s">
        <v>146</v>
      </c>
      <c r="E142" t="s">
        <v>1015</v>
      </c>
      <c r="F142" t="str">
        <f t="shared" si="2"/>
        <v>DHA3430AutreDHA6520DHA6830Oui</v>
      </c>
      <c r="G142" s="32">
        <v>6</v>
      </c>
    </row>
    <row r="143" spans="1:7" x14ac:dyDescent="0.35">
      <c r="A143" t="s">
        <v>150</v>
      </c>
      <c r="B143" t="s">
        <v>1043</v>
      </c>
      <c r="C143" t="s">
        <v>161</v>
      </c>
      <c r="D143" t="s">
        <v>146</v>
      </c>
      <c r="E143" t="s">
        <v>1016</v>
      </c>
      <c r="F143" t="str">
        <f t="shared" si="2"/>
        <v>DHA3430AutreDHA6520DHA6830Non</v>
      </c>
      <c r="G143" s="32">
        <v>13.5</v>
      </c>
    </row>
    <row r="144" spans="1:7" x14ac:dyDescent="0.35">
      <c r="A144" t="s">
        <v>150</v>
      </c>
      <c r="B144" t="s">
        <v>1043</v>
      </c>
      <c r="C144" t="s">
        <v>161</v>
      </c>
      <c r="D144" t="s">
        <v>147</v>
      </c>
      <c r="E144" t="s">
        <v>1015</v>
      </c>
      <c r="F144" t="str">
        <f t="shared" si="2"/>
        <v>DHA3430AutreDHA6520DHA6840Oui</v>
      </c>
      <c r="G144" s="32">
        <v>11.5</v>
      </c>
    </row>
    <row r="145" spans="1:7" x14ac:dyDescent="0.35">
      <c r="A145" t="s">
        <v>150</v>
      </c>
      <c r="B145" t="s">
        <v>1043</v>
      </c>
      <c r="C145" t="s">
        <v>161</v>
      </c>
      <c r="D145" t="s">
        <v>147</v>
      </c>
      <c r="E145" t="s">
        <v>1016</v>
      </c>
      <c r="F145" t="str">
        <f t="shared" si="2"/>
        <v>DHA3430AutreDHA6520DHA6840Non</v>
      </c>
      <c r="G145" s="32">
        <v>18</v>
      </c>
    </row>
    <row r="146" spans="1:7" x14ac:dyDescent="0.35">
      <c r="A146" t="s">
        <v>180</v>
      </c>
      <c r="B146" t="s">
        <v>178</v>
      </c>
      <c r="C146" t="s">
        <v>161</v>
      </c>
      <c r="D146" t="s">
        <v>145</v>
      </c>
      <c r="E146" t="s">
        <v>1015</v>
      </c>
      <c r="F146" t="str">
        <f t="shared" si="2"/>
        <v>DHA3440DHA3490DHA6520DHA6820Oui</v>
      </c>
      <c r="G146" s="32" t="s">
        <v>194</v>
      </c>
    </row>
    <row r="147" spans="1:7" x14ac:dyDescent="0.35">
      <c r="A147" t="s">
        <v>180</v>
      </c>
      <c r="B147" t="s">
        <v>178</v>
      </c>
      <c r="C147" t="s">
        <v>161</v>
      </c>
      <c r="D147" t="s">
        <v>145</v>
      </c>
      <c r="E147" t="s">
        <v>1016</v>
      </c>
      <c r="F147" t="str">
        <f t="shared" si="2"/>
        <v>DHA3440DHA3490DHA6520DHA6820Non</v>
      </c>
      <c r="G147" s="32" t="s">
        <v>194</v>
      </c>
    </row>
    <row r="148" spans="1:7" x14ac:dyDescent="0.35">
      <c r="A148" t="s">
        <v>180</v>
      </c>
      <c r="B148" t="s">
        <v>178</v>
      </c>
      <c r="C148" t="s">
        <v>161</v>
      </c>
      <c r="D148" t="s">
        <v>146</v>
      </c>
      <c r="E148" t="s">
        <v>1015</v>
      </c>
      <c r="F148" t="str">
        <f t="shared" si="2"/>
        <v>DHA3440DHA3490DHA6520DHA6830Oui</v>
      </c>
      <c r="G148" s="32" t="s">
        <v>194</v>
      </c>
    </row>
    <row r="149" spans="1:7" x14ac:dyDescent="0.35">
      <c r="A149" t="s">
        <v>180</v>
      </c>
      <c r="B149" t="s">
        <v>178</v>
      </c>
      <c r="C149" t="s">
        <v>161</v>
      </c>
      <c r="D149" t="s">
        <v>146</v>
      </c>
      <c r="E149" t="s">
        <v>1016</v>
      </c>
      <c r="F149" t="str">
        <f t="shared" si="2"/>
        <v>DHA3440DHA3490DHA6520DHA6830Non</v>
      </c>
      <c r="G149" s="32" t="s">
        <v>194</v>
      </c>
    </row>
    <row r="150" spans="1:7" x14ac:dyDescent="0.35">
      <c r="A150" t="s">
        <v>180</v>
      </c>
      <c r="B150" t="s">
        <v>178</v>
      </c>
      <c r="C150" t="s">
        <v>161</v>
      </c>
      <c r="D150" t="s">
        <v>147</v>
      </c>
      <c r="E150" t="s">
        <v>1015</v>
      </c>
      <c r="F150" t="str">
        <f t="shared" si="2"/>
        <v>DHA3440DHA3490DHA6520DHA6840Oui</v>
      </c>
      <c r="G150" s="32" t="s">
        <v>194</v>
      </c>
    </row>
    <row r="151" spans="1:7" x14ac:dyDescent="0.35">
      <c r="A151" t="s">
        <v>180</v>
      </c>
      <c r="B151" t="s">
        <v>178</v>
      </c>
      <c r="C151" t="s">
        <v>161</v>
      </c>
      <c r="D151" t="s">
        <v>147</v>
      </c>
      <c r="E151" t="s">
        <v>1016</v>
      </c>
      <c r="F151" t="str">
        <f t="shared" si="2"/>
        <v>DHA3440DHA3490DHA6520DHA6840Non</v>
      </c>
      <c r="G151" s="32" t="s">
        <v>194</v>
      </c>
    </row>
    <row r="152" spans="1:7" x14ac:dyDescent="0.35">
      <c r="A152" t="s">
        <v>180</v>
      </c>
      <c r="B152" t="s">
        <v>1043</v>
      </c>
      <c r="C152" t="s">
        <v>161</v>
      </c>
      <c r="D152" t="s">
        <v>145</v>
      </c>
      <c r="E152" t="s">
        <v>1015</v>
      </c>
      <c r="F152" t="str">
        <f t="shared" si="2"/>
        <v>DHA3440AutreDHA6520DHA6820Oui</v>
      </c>
      <c r="G152" s="32">
        <v>6</v>
      </c>
    </row>
    <row r="153" spans="1:7" x14ac:dyDescent="0.35">
      <c r="A153" t="s">
        <v>180</v>
      </c>
      <c r="B153" t="s">
        <v>1043</v>
      </c>
      <c r="C153" t="s">
        <v>161</v>
      </c>
      <c r="D153" t="s">
        <v>145</v>
      </c>
      <c r="E153" t="s">
        <v>1016</v>
      </c>
      <c r="F153" t="str">
        <f t="shared" si="2"/>
        <v>DHA3440AutreDHA6520DHA6820Non</v>
      </c>
      <c r="G153" s="32">
        <v>13.5</v>
      </c>
    </row>
    <row r="154" spans="1:7" x14ac:dyDescent="0.35">
      <c r="A154" t="s">
        <v>180</v>
      </c>
      <c r="B154" t="s">
        <v>1043</v>
      </c>
      <c r="C154" t="s">
        <v>161</v>
      </c>
      <c r="D154" t="s">
        <v>146</v>
      </c>
      <c r="E154" t="s">
        <v>1015</v>
      </c>
      <c r="F154" t="str">
        <f t="shared" si="2"/>
        <v>DHA3440AutreDHA6520DHA6830Oui</v>
      </c>
      <c r="G154" s="32">
        <v>6</v>
      </c>
    </row>
    <row r="155" spans="1:7" x14ac:dyDescent="0.35">
      <c r="A155" t="s">
        <v>180</v>
      </c>
      <c r="B155" t="s">
        <v>1043</v>
      </c>
      <c r="C155" t="s">
        <v>161</v>
      </c>
      <c r="D155" t="s">
        <v>146</v>
      </c>
      <c r="E155" t="s">
        <v>1016</v>
      </c>
      <c r="F155" t="str">
        <f t="shared" si="2"/>
        <v>DHA3440AutreDHA6520DHA6830Non</v>
      </c>
      <c r="G155" s="32">
        <v>20.5</v>
      </c>
    </row>
    <row r="156" spans="1:7" x14ac:dyDescent="0.35">
      <c r="A156" t="s">
        <v>180</v>
      </c>
      <c r="B156" t="s">
        <v>1043</v>
      </c>
      <c r="C156" t="s">
        <v>161</v>
      </c>
      <c r="D156" t="s">
        <v>147</v>
      </c>
      <c r="E156" t="s">
        <v>1015</v>
      </c>
      <c r="F156" t="str">
        <f t="shared" si="2"/>
        <v>DHA3440AutreDHA6520DHA6840Oui</v>
      </c>
      <c r="G156" s="32">
        <v>11.5</v>
      </c>
    </row>
    <row r="157" spans="1:7" x14ac:dyDescent="0.35">
      <c r="A157" t="s">
        <v>180</v>
      </c>
      <c r="B157" t="s">
        <v>1043</v>
      </c>
      <c r="C157" t="s">
        <v>161</v>
      </c>
      <c r="D157" t="s">
        <v>147</v>
      </c>
      <c r="E157" t="s">
        <v>1016</v>
      </c>
      <c r="F157" t="str">
        <f t="shared" si="2"/>
        <v>DHA3440AutreDHA6520DHA6840Non</v>
      </c>
      <c r="G157" s="32">
        <v>18</v>
      </c>
    </row>
    <row r="158" spans="1:7" x14ac:dyDescent="0.35">
      <c r="A158" t="s">
        <v>181</v>
      </c>
      <c r="B158" t="s">
        <v>178</v>
      </c>
      <c r="C158" t="s">
        <v>161</v>
      </c>
      <c r="D158" t="s">
        <v>145</v>
      </c>
      <c r="E158" t="s">
        <v>1015</v>
      </c>
      <c r="F158" t="str">
        <f t="shared" si="2"/>
        <v>DHA3450DHA3490DHA6520DHA6820Oui</v>
      </c>
      <c r="G158" s="32" t="s">
        <v>194</v>
      </c>
    </row>
    <row r="159" spans="1:7" x14ac:dyDescent="0.35">
      <c r="A159" t="s">
        <v>181</v>
      </c>
      <c r="B159" t="s">
        <v>178</v>
      </c>
      <c r="C159" t="s">
        <v>161</v>
      </c>
      <c r="D159" t="s">
        <v>145</v>
      </c>
      <c r="E159" t="s">
        <v>1016</v>
      </c>
      <c r="F159" t="str">
        <f t="shared" si="2"/>
        <v>DHA3450DHA3490DHA6520DHA6820Non</v>
      </c>
      <c r="G159" s="32" t="s">
        <v>194</v>
      </c>
    </row>
    <row r="160" spans="1:7" x14ac:dyDescent="0.35">
      <c r="A160" t="s">
        <v>181</v>
      </c>
      <c r="B160" t="s">
        <v>178</v>
      </c>
      <c r="C160" t="s">
        <v>161</v>
      </c>
      <c r="D160" t="s">
        <v>146</v>
      </c>
      <c r="E160" t="s">
        <v>1015</v>
      </c>
      <c r="F160" t="str">
        <f t="shared" si="2"/>
        <v>DHA3450DHA3490DHA6520DHA6830Oui</v>
      </c>
      <c r="G160" s="32" t="s">
        <v>194</v>
      </c>
    </row>
    <row r="161" spans="1:7" x14ac:dyDescent="0.35">
      <c r="A161" t="s">
        <v>181</v>
      </c>
      <c r="B161" t="s">
        <v>178</v>
      </c>
      <c r="C161" t="s">
        <v>161</v>
      </c>
      <c r="D161" t="s">
        <v>146</v>
      </c>
      <c r="E161" t="s">
        <v>1016</v>
      </c>
      <c r="F161" t="str">
        <f t="shared" si="2"/>
        <v>DHA3450DHA3490DHA6520DHA6830Non</v>
      </c>
      <c r="G161" s="32" t="s">
        <v>194</v>
      </c>
    </row>
    <row r="162" spans="1:7" x14ac:dyDescent="0.35">
      <c r="A162" t="s">
        <v>181</v>
      </c>
      <c r="B162" t="s">
        <v>178</v>
      </c>
      <c r="C162" t="s">
        <v>161</v>
      </c>
      <c r="D162" t="s">
        <v>147</v>
      </c>
      <c r="E162" t="s">
        <v>1015</v>
      </c>
      <c r="F162" t="str">
        <f t="shared" si="2"/>
        <v>DHA3450DHA3490DHA6520DHA6840Oui</v>
      </c>
      <c r="G162" s="32" t="s">
        <v>194</v>
      </c>
    </row>
    <row r="163" spans="1:7" x14ac:dyDescent="0.35">
      <c r="A163" t="s">
        <v>181</v>
      </c>
      <c r="B163" t="s">
        <v>178</v>
      </c>
      <c r="C163" t="s">
        <v>161</v>
      </c>
      <c r="D163" t="s">
        <v>147</v>
      </c>
      <c r="E163" t="s">
        <v>1016</v>
      </c>
      <c r="F163" t="str">
        <f t="shared" si="2"/>
        <v>DHA3450DHA3490DHA6520DHA6840Non</v>
      </c>
      <c r="G163" s="32" t="s">
        <v>194</v>
      </c>
    </row>
    <row r="164" spans="1:7" x14ac:dyDescent="0.35">
      <c r="A164" t="s">
        <v>181</v>
      </c>
      <c r="B164" t="s">
        <v>1043</v>
      </c>
      <c r="C164" t="s">
        <v>161</v>
      </c>
      <c r="D164" t="s">
        <v>145</v>
      </c>
      <c r="E164" t="s">
        <v>1015</v>
      </c>
      <c r="F164" t="str">
        <f t="shared" si="2"/>
        <v>DHA3450AutreDHA6520DHA6820Oui</v>
      </c>
      <c r="G164" s="32">
        <v>6</v>
      </c>
    </row>
    <row r="165" spans="1:7" x14ac:dyDescent="0.35">
      <c r="A165" t="s">
        <v>181</v>
      </c>
      <c r="B165" t="s">
        <v>1043</v>
      </c>
      <c r="C165" t="s">
        <v>161</v>
      </c>
      <c r="D165" t="s">
        <v>145</v>
      </c>
      <c r="E165" t="s">
        <v>1016</v>
      </c>
      <c r="F165" t="str">
        <f t="shared" si="2"/>
        <v>DHA3450AutreDHA6520DHA6820Non</v>
      </c>
      <c r="G165" s="32">
        <v>13.5</v>
      </c>
    </row>
    <row r="166" spans="1:7" x14ac:dyDescent="0.35">
      <c r="A166" t="s">
        <v>181</v>
      </c>
      <c r="B166" t="s">
        <v>1043</v>
      </c>
      <c r="C166" t="s">
        <v>161</v>
      </c>
      <c r="D166" t="s">
        <v>146</v>
      </c>
      <c r="E166" t="s">
        <v>1015</v>
      </c>
      <c r="F166" t="str">
        <f t="shared" si="2"/>
        <v>DHA3450AutreDHA6520DHA6830Oui</v>
      </c>
      <c r="G166" s="32">
        <v>6</v>
      </c>
    </row>
    <row r="167" spans="1:7" x14ac:dyDescent="0.35">
      <c r="A167" t="s">
        <v>181</v>
      </c>
      <c r="B167" t="s">
        <v>1043</v>
      </c>
      <c r="C167" t="s">
        <v>161</v>
      </c>
      <c r="D167" t="s">
        <v>146</v>
      </c>
      <c r="E167" t="s">
        <v>1016</v>
      </c>
      <c r="F167" t="str">
        <f t="shared" si="2"/>
        <v>DHA3450AutreDHA6520DHA6830Non</v>
      </c>
      <c r="G167" s="32">
        <v>20.5</v>
      </c>
    </row>
    <row r="168" spans="1:7" x14ac:dyDescent="0.35">
      <c r="A168" t="s">
        <v>181</v>
      </c>
      <c r="B168" t="s">
        <v>1043</v>
      </c>
      <c r="C168" t="s">
        <v>161</v>
      </c>
      <c r="D168" t="s">
        <v>147</v>
      </c>
      <c r="E168" t="s">
        <v>1015</v>
      </c>
      <c r="F168" t="str">
        <f t="shared" si="2"/>
        <v>DHA3450AutreDHA6520DHA6840Oui</v>
      </c>
      <c r="G168" s="32">
        <v>11.5</v>
      </c>
    </row>
    <row r="169" spans="1:7" x14ac:dyDescent="0.35">
      <c r="A169" t="s">
        <v>181</v>
      </c>
      <c r="B169" t="s">
        <v>1043</v>
      </c>
      <c r="C169" t="s">
        <v>161</v>
      </c>
      <c r="D169" t="s">
        <v>147</v>
      </c>
      <c r="E169" t="s">
        <v>1016</v>
      </c>
      <c r="F169" t="str">
        <f t="shared" si="2"/>
        <v>DHA3450AutreDHA6520DHA6840Non</v>
      </c>
      <c r="G169" s="32">
        <v>18</v>
      </c>
    </row>
    <row r="170" spans="1:7" x14ac:dyDescent="0.35">
      <c r="A170" t="s">
        <v>1043</v>
      </c>
      <c r="B170" t="s">
        <v>178</v>
      </c>
      <c r="C170" t="s">
        <v>161</v>
      </c>
      <c r="D170" t="s">
        <v>145</v>
      </c>
      <c r="E170" t="s">
        <v>1015</v>
      </c>
      <c r="F170" t="str">
        <f t="shared" si="2"/>
        <v>AutreDHA3490DHA6520DHA6820Oui</v>
      </c>
      <c r="G170" s="32">
        <v>6</v>
      </c>
    </row>
    <row r="171" spans="1:7" x14ac:dyDescent="0.35">
      <c r="A171" t="s">
        <v>1043</v>
      </c>
      <c r="B171" t="s">
        <v>178</v>
      </c>
      <c r="C171" t="s">
        <v>161</v>
      </c>
      <c r="D171" t="s">
        <v>145</v>
      </c>
      <c r="E171" t="s">
        <v>1016</v>
      </c>
      <c r="F171" t="str">
        <f t="shared" si="2"/>
        <v>AutreDHA3490DHA6520DHA6820Non</v>
      </c>
      <c r="G171" s="32">
        <v>13.5</v>
      </c>
    </row>
    <row r="172" spans="1:7" x14ac:dyDescent="0.35">
      <c r="A172" t="s">
        <v>1043</v>
      </c>
      <c r="B172" t="s">
        <v>178</v>
      </c>
      <c r="C172" t="s">
        <v>161</v>
      </c>
      <c r="D172" t="s">
        <v>146</v>
      </c>
      <c r="E172" t="s">
        <v>1015</v>
      </c>
      <c r="F172" t="str">
        <f t="shared" si="2"/>
        <v>AutreDHA3490DHA6520DHA6830Oui</v>
      </c>
      <c r="G172" s="32">
        <v>6</v>
      </c>
    </row>
    <row r="173" spans="1:7" x14ac:dyDescent="0.35">
      <c r="A173" t="s">
        <v>1043</v>
      </c>
      <c r="B173" t="s">
        <v>178</v>
      </c>
      <c r="C173" t="s">
        <v>161</v>
      </c>
      <c r="D173" t="s">
        <v>146</v>
      </c>
      <c r="E173" t="s">
        <v>1016</v>
      </c>
      <c r="F173" t="str">
        <f t="shared" si="2"/>
        <v>AutreDHA3490DHA6520DHA6830Non</v>
      </c>
      <c r="G173" s="32">
        <v>20.5</v>
      </c>
    </row>
    <row r="174" spans="1:7" x14ac:dyDescent="0.35">
      <c r="A174" t="s">
        <v>1043</v>
      </c>
      <c r="B174" t="s">
        <v>178</v>
      </c>
      <c r="C174" t="s">
        <v>161</v>
      </c>
      <c r="D174" t="s">
        <v>147</v>
      </c>
      <c r="E174" t="s">
        <v>1015</v>
      </c>
      <c r="F174" t="str">
        <f t="shared" si="2"/>
        <v>AutreDHA3490DHA6520DHA6840Oui</v>
      </c>
      <c r="G174" s="32">
        <v>11.5</v>
      </c>
    </row>
    <row r="175" spans="1:7" x14ac:dyDescent="0.35">
      <c r="A175" t="s">
        <v>1043</v>
      </c>
      <c r="B175" t="s">
        <v>178</v>
      </c>
      <c r="C175" t="s">
        <v>161</v>
      </c>
      <c r="D175" t="s">
        <v>147</v>
      </c>
      <c r="E175" t="s">
        <v>1016</v>
      </c>
      <c r="F175" t="str">
        <f t="shared" si="2"/>
        <v>AutreDHA3490DHA6520DHA6840Non</v>
      </c>
      <c r="G175" s="32">
        <v>18</v>
      </c>
    </row>
    <row r="176" spans="1:7" x14ac:dyDescent="0.35">
      <c r="A176" t="s">
        <v>1043</v>
      </c>
      <c r="B176" t="s">
        <v>1043</v>
      </c>
      <c r="C176" t="s">
        <v>161</v>
      </c>
      <c r="D176" t="s">
        <v>145</v>
      </c>
      <c r="E176" t="s">
        <v>1015</v>
      </c>
      <c r="F176" t="str">
        <f t="shared" si="2"/>
        <v>AutreAutreDHA6520DHA6820Oui</v>
      </c>
      <c r="G176" s="32">
        <v>6</v>
      </c>
    </row>
    <row r="177" spans="1:7" x14ac:dyDescent="0.35">
      <c r="A177" t="s">
        <v>1043</v>
      </c>
      <c r="B177" t="s">
        <v>1043</v>
      </c>
      <c r="C177" t="s">
        <v>161</v>
      </c>
      <c r="D177" t="s">
        <v>145</v>
      </c>
      <c r="E177" t="s">
        <v>1016</v>
      </c>
      <c r="F177" t="str">
        <f t="shared" si="2"/>
        <v>AutreAutreDHA6520DHA6820Non</v>
      </c>
      <c r="G177" s="32">
        <v>6</v>
      </c>
    </row>
    <row r="178" spans="1:7" x14ac:dyDescent="0.35">
      <c r="A178" t="s">
        <v>1043</v>
      </c>
      <c r="B178" t="s">
        <v>1043</v>
      </c>
      <c r="C178" t="s">
        <v>161</v>
      </c>
      <c r="D178" t="s">
        <v>146</v>
      </c>
      <c r="E178" t="s">
        <v>1015</v>
      </c>
      <c r="F178" t="str">
        <f t="shared" si="2"/>
        <v>AutreAutreDHA6520DHA6830Oui</v>
      </c>
      <c r="G178" s="32">
        <v>6</v>
      </c>
    </row>
    <row r="179" spans="1:7" x14ac:dyDescent="0.35">
      <c r="A179" t="s">
        <v>1043</v>
      </c>
      <c r="B179" t="s">
        <v>1043</v>
      </c>
      <c r="C179" t="s">
        <v>161</v>
      </c>
      <c r="D179" t="s">
        <v>146</v>
      </c>
      <c r="E179" t="s">
        <v>1016</v>
      </c>
      <c r="F179" t="str">
        <f t="shared" si="2"/>
        <v>AutreAutreDHA6520DHA6830Non</v>
      </c>
      <c r="G179" s="32">
        <v>6</v>
      </c>
    </row>
    <row r="180" spans="1:7" x14ac:dyDescent="0.35">
      <c r="A180" t="s">
        <v>1043</v>
      </c>
      <c r="B180" t="s">
        <v>1043</v>
      </c>
      <c r="C180" t="s">
        <v>161</v>
      </c>
      <c r="D180" t="s">
        <v>147</v>
      </c>
      <c r="E180" t="s">
        <v>1015</v>
      </c>
      <c r="F180" t="str">
        <f t="shared" si="2"/>
        <v>AutreAutreDHA6520DHA6840Oui</v>
      </c>
      <c r="G180" s="32">
        <v>11.5</v>
      </c>
    </row>
    <row r="181" spans="1:7" x14ac:dyDescent="0.35">
      <c r="A181" t="s">
        <v>1043</v>
      </c>
      <c r="B181" t="s">
        <v>1043</v>
      </c>
      <c r="C181" t="s">
        <v>161</v>
      </c>
      <c r="D181" t="s">
        <v>147</v>
      </c>
      <c r="E181" t="s">
        <v>1016</v>
      </c>
      <c r="F181" t="str">
        <f t="shared" si="2"/>
        <v>AutreAutreDHA6520DHA6840Non</v>
      </c>
      <c r="G181" s="32">
        <v>18</v>
      </c>
    </row>
    <row r="182" spans="1:7" x14ac:dyDescent="0.35">
      <c r="A182" t="s">
        <v>179</v>
      </c>
      <c r="B182" t="s">
        <v>178</v>
      </c>
      <c r="C182" t="s">
        <v>162</v>
      </c>
      <c r="D182" t="s">
        <v>145</v>
      </c>
      <c r="E182" t="s">
        <v>1015</v>
      </c>
      <c r="F182" t="str">
        <f t="shared" si="2"/>
        <v>DHA3425DHA3490DHA6550DHA6820Oui</v>
      </c>
      <c r="G182" s="32" t="s">
        <v>194</v>
      </c>
    </row>
    <row r="183" spans="1:7" x14ac:dyDescent="0.35">
      <c r="A183" t="s">
        <v>179</v>
      </c>
      <c r="B183" t="s">
        <v>178</v>
      </c>
      <c r="C183" t="s">
        <v>162</v>
      </c>
      <c r="D183" t="s">
        <v>145</v>
      </c>
      <c r="E183" t="s">
        <v>1016</v>
      </c>
      <c r="F183" t="str">
        <f t="shared" si="2"/>
        <v>DHA3425DHA3490DHA6550DHA6820Non</v>
      </c>
      <c r="G183" s="32" t="s">
        <v>194</v>
      </c>
    </row>
    <row r="184" spans="1:7" x14ac:dyDescent="0.35">
      <c r="A184" t="s">
        <v>179</v>
      </c>
      <c r="B184" t="s">
        <v>178</v>
      </c>
      <c r="C184" t="s">
        <v>162</v>
      </c>
      <c r="D184" t="s">
        <v>146</v>
      </c>
      <c r="E184" t="s">
        <v>1015</v>
      </c>
      <c r="F184" t="str">
        <f t="shared" si="2"/>
        <v>DHA3425DHA3490DHA6550DHA6830Oui</v>
      </c>
      <c r="G184" s="32" t="s">
        <v>194</v>
      </c>
    </row>
    <row r="185" spans="1:7" x14ac:dyDescent="0.35">
      <c r="A185" t="s">
        <v>179</v>
      </c>
      <c r="B185" t="s">
        <v>178</v>
      </c>
      <c r="C185" t="s">
        <v>162</v>
      </c>
      <c r="D185" t="s">
        <v>146</v>
      </c>
      <c r="E185" t="s">
        <v>1016</v>
      </c>
      <c r="F185" t="str">
        <f t="shared" si="2"/>
        <v>DHA3425DHA3490DHA6550DHA6830Non</v>
      </c>
      <c r="G185" s="32" t="s">
        <v>194</v>
      </c>
    </row>
    <row r="186" spans="1:7" x14ac:dyDescent="0.35">
      <c r="A186" t="s">
        <v>179</v>
      </c>
      <c r="B186" t="s">
        <v>178</v>
      </c>
      <c r="C186" t="s">
        <v>162</v>
      </c>
      <c r="D186" t="s">
        <v>147</v>
      </c>
      <c r="E186" t="s">
        <v>1015</v>
      </c>
      <c r="F186" t="str">
        <f t="shared" si="2"/>
        <v>DHA3425DHA3490DHA6550DHA6840Oui</v>
      </c>
      <c r="G186" s="32" t="s">
        <v>194</v>
      </c>
    </row>
    <row r="187" spans="1:7" x14ac:dyDescent="0.35">
      <c r="A187" t="s">
        <v>179</v>
      </c>
      <c r="B187" t="s">
        <v>178</v>
      </c>
      <c r="C187" t="s">
        <v>162</v>
      </c>
      <c r="D187" t="s">
        <v>147</v>
      </c>
      <c r="E187" t="s">
        <v>1016</v>
      </c>
      <c r="F187" t="str">
        <f t="shared" si="2"/>
        <v>DHA3425DHA3490DHA6550DHA6840Non</v>
      </c>
      <c r="G187" s="32" t="s">
        <v>194</v>
      </c>
    </row>
    <row r="188" spans="1:7" x14ac:dyDescent="0.35">
      <c r="A188" t="s">
        <v>179</v>
      </c>
      <c r="B188" t="s">
        <v>1043</v>
      </c>
      <c r="C188" t="s">
        <v>162</v>
      </c>
      <c r="D188" t="s">
        <v>145</v>
      </c>
      <c r="E188" t="s">
        <v>1015</v>
      </c>
      <c r="F188" t="str">
        <f t="shared" si="2"/>
        <v>DHA3425AutreDHA6550DHA6820Oui</v>
      </c>
      <c r="G188" s="32">
        <v>6</v>
      </c>
    </row>
    <row r="189" spans="1:7" x14ac:dyDescent="0.35">
      <c r="A189" t="s">
        <v>179</v>
      </c>
      <c r="B189" t="s">
        <v>1043</v>
      </c>
      <c r="C189" t="s">
        <v>162</v>
      </c>
      <c r="D189" t="s">
        <v>145</v>
      </c>
      <c r="E189" t="s">
        <v>1016</v>
      </c>
      <c r="F189" t="str">
        <f t="shared" si="2"/>
        <v>DHA3425AutreDHA6550DHA6820Non</v>
      </c>
      <c r="G189" s="32">
        <v>6</v>
      </c>
    </row>
    <row r="190" spans="1:7" x14ac:dyDescent="0.35">
      <c r="A190" t="s">
        <v>179</v>
      </c>
      <c r="B190" t="s">
        <v>1043</v>
      </c>
      <c r="C190" t="s">
        <v>162</v>
      </c>
      <c r="D190" t="s">
        <v>146</v>
      </c>
      <c r="E190" t="s">
        <v>1015</v>
      </c>
      <c r="F190" t="str">
        <f t="shared" si="2"/>
        <v>DHA3425AutreDHA6550DHA6830Oui</v>
      </c>
      <c r="G190" s="32">
        <v>6</v>
      </c>
    </row>
    <row r="191" spans="1:7" x14ac:dyDescent="0.35">
      <c r="A191" t="s">
        <v>179</v>
      </c>
      <c r="B191" t="s">
        <v>1043</v>
      </c>
      <c r="C191" t="s">
        <v>162</v>
      </c>
      <c r="D191" t="s">
        <v>146</v>
      </c>
      <c r="E191" t="s">
        <v>1016</v>
      </c>
      <c r="F191" t="str">
        <f t="shared" si="2"/>
        <v>DHA3425AutreDHA6550DHA6830Non</v>
      </c>
      <c r="G191" s="32">
        <v>13.5</v>
      </c>
    </row>
    <row r="192" spans="1:7" x14ac:dyDescent="0.35">
      <c r="A192" t="s">
        <v>179</v>
      </c>
      <c r="B192" t="s">
        <v>1043</v>
      </c>
      <c r="C192" t="s">
        <v>162</v>
      </c>
      <c r="D192" t="s">
        <v>147</v>
      </c>
      <c r="E192" t="s">
        <v>1015</v>
      </c>
      <c r="F192" t="str">
        <f t="shared" si="2"/>
        <v>DHA3425AutreDHA6550DHA6840Oui</v>
      </c>
      <c r="G192" s="32">
        <v>11.5</v>
      </c>
    </row>
    <row r="193" spans="1:7" x14ac:dyDescent="0.35">
      <c r="A193" t="s">
        <v>179</v>
      </c>
      <c r="B193" t="s">
        <v>1043</v>
      </c>
      <c r="C193" t="s">
        <v>162</v>
      </c>
      <c r="D193" t="s">
        <v>147</v>
      </c>
      <c r="E193" t="s">
        <v>1016</v>
      </c>
      <c r="F193" t="str">
        <f t="shared" si="2"/>
        <v>DHA3425AutreDHA6550DHA6840Non</v>
      </c>
      <c r="G193" s="32">
        <v>18</v>
      </c>
    </row>
    <row r="194" spans="1:7" x14ac:dyDescent="0.35">
      <c r="A194" t="s">
        <v>150</v>
      </c>
      <c r="B194" t="s">
        <v>178</v>
      </c>
      <c r="C194" t="s">
        <v>162</v>
      </c>
      <c r="D194" t="s">
        <v>145</v>
      </c>
      <c r="E194" t="s">
        <v>1015</v>
      </c>
      <c r="F194" t="str">
        <f t="shared" ref="F194:F241" si="3">CONCATENATE(A194,B194,C194,D194,E194)</f>
        <v>DHA3430DHA3490DHA6550DHA6820Oui</v>
      </c>
      <c r="G194" s="32" t="s">
        <v>194</v>
      </c>
    </row>
    <row r="195" spans="1:7" x14ac:dyDescent="0.35">
      <c r="A195" t="s">
        <v>150</v>
      </c>
      <c r="B195" t="s">
        <v>178</v>
      </c>
      <c r="C195" t="s">
        <v>162</v>
      </c>
      <c r="D195" t="s">
        <v>145</v>
      </c>
      <c r="E195" t="s">
        <v>1016</v>
      </c>
      <c r="F195" t="str">
        <f t="shared" si="3"/>
        <v>DHA3430DHA3490DHA6550DHA6820Non</v>
      </c>
      <c r="G195" s="32" t="s">
        <v>194</v>
      </c>
    </row>
    <row r="196" spans="1:7" x14ac:dyDescent="0.35">
      <c r="A196" t="s">
        <v>150</v>
      </c>
      <c r="B196" t="s">
        <v>178</v>
      </c>
      <c r="C196" t="s">
        <v>162</v>
      </c>
      <c r="D196" t="s">
        <v>146</v>
      </c>
      <c r="E196" t="s">
        <v>1015</v>
      </c>
      <c r="F196" t="str">
        <f t="shared" si="3"/>
        <v>DHA3430DHA3490DHA6550DHA6830Oui</v>
      </c>
      <c r="G196" s="32" t="s">
        <v>194</v>
      </c>
    </row>
    <row r="197" spans="1:7" x14ac:dyDescent="0.35">
      <c r="A197" t="s">
        <v>150</v>
      </c>
      <c r="B197" t="s">
        <v>178</v>
      </c>
      <c r="C197" t="s">
        <v>162</v>
      </c>
      <c r="D197" t="s">
        <v>146</v>
      </c>
      <c r="E197" t="s">
        <v>1016</v>
      </c>
      <c r="F197" t="str">
        <f t="shared" si="3"/>
        <v>DHA3430DHA3490DHA6550DHA6830Non</v>
      </c>
      <c r="G197" s="32" t="s">
        <v>194</v>
      </c>
    </row>
    <row r="198" spans="1:7" x14ac:dyDescent="0.35">
      <c r="A198" t="s">
        <v>150</v>
      </c>
      <c r="B198" t="s">
        <v>178</v>
      </c>
      <c r="C198" t="s">
        <v>162</v>
      </c>
      <c r="D198" t="s">
        <v>147</v>
      </c>
      <c r="E198" t="s">
        <v>1015</v>
      </c>
      <c r="F198" t="str">
        <f t="shared" si="3"/>
        <v>DHA3430DHA3490DHA6550DHA6840Oui</v>
      </c>
      <c r="G198" s="32" t="s">
        <v>194</v>
      </c>
    </row>
    <row r="199" spans="1:7" x14ac:dyDescent="0.35">
      <c r="A199" t="s">
        <v>150</v>
      </c>
      <c r="B199" t="s">
        <v>178</v>
      </c>
      <c r="C199" t="s">
        <v>162</v>
      </c>
      <c r="D199" t="s">
        <v>147</v>
      </c>
      <c r="E199" t="s">
        <v>1016</v>
      </c>
      <c r="F199" t="str">
        <f t="shared" si="3"/>
        <v>DHA3430DHA3490DHA6550DHA6840Non</v>
      </c>
      <c r="G199" s="32" t="s">
        <v>194</v>
      </c>
    </row>
    <row r="200" spans="1:7" x14ac:dyDescent="0.35">
      <c r="A200" t="s">
        <v>150</v>
      </c>
      <c r="B200" t="s">
        <v>1043</v>
      </c>
      <c r="C200" t="s">
        <v>162</v>
      </c>
      <c r="D200" t="s">
        <v>145</v>
      </c>
      <c r="E200" t="s">
        <v>1015</v>
      </c>
      <c r="F200" t="str">
        <f t="shared" si="3"/>
        <v>DHA3430AutreDHA6550DHA6820Oui</v>
      </c>
      <c r="G200" s="32">
        <v>6</v>
      </c>
    </row>
    <row r="201" spans="1:7" x14ac:dyDescent="0.35">
      <c r="A201" t="s">
        <v>150</v>
      </c>
      <c r="B201" t="s">
        <v>1043</v>
      </c>
      <c r="C201" t="s">
        <v>162</v>
      </c>
      <c r="D201" t="s">
        <v>145</v>
      </c>
      <c r="E201" t="s">
        <v>1016</v>
      </c>
      <c r="F201" t="str">
        <f t="shared" si="3"/>
        <v>DHA3430AutreDHA6550DHA6820Non</v>
      </c>
      <c r="G201" s="32">
        <v>6</v>
      </c>
    </row>
    <row r="202" spans="1:7" x14ac:dyDescent="0.35">
      <c r="A202" t="s">
        <v>150</v>
      </c>
      <c r="B202" t="s">
        <v>1043</v>
      </c>
      <c r="C202" t="s">
        <v>162</v>
      </c>
      <c r="D202" t="s">
        <v>146</v>
      </c>
      <c r="E202" t="s">
        <v>1015</v>
      </c>
      <c r="F202" t="str">
        <f t="shared" si="3"/>
        <v>DHA3430AutreDHA6550DHA6830Oui</v>
      </c>
      <c r="G202" s="32">
        <v>6</v>
      </c>
    </row>
    <row r="203" spans="1:7" x14ac:dyDescent="0.35">
      <c r="A203" t="s">
        <v>150</v>
      </c>
      <c r="B203" t="s">
        <v>1043</v>
      </c>
      <c r="C203" t="s">
        <v>162</v>
      </c>
      <c r="D203" t="s">
        <v>146</v>
      </c>
      <c r="E203" t="s">
        <v>1016</v>
      </c>
      <c r="F203" t="str">
        <f t="shared" si="3"/>
        <v>DHA3430AutreDHA6550DHA6830Non</v>
      </c>
      <c r="G203" s="32">
        <v>13.5</v>
      </c>
    </row>
    <row r="204" spans="1:7" x14ac:dyDescent="0.35">
      <c r="A204" t="s">
        <v>150</v>
      </c>
      <c r="B204" t="s">
        <v>1043</v>
      </c>
      <c r="C204" t="s">
        <v>162</v>
      </c>
      <c r="D204" t="s">
        <v>147</v>
      </c>
      <c r="E204" t="s">
        <v>1015</v>
      </c>
      <c r="F204" t="str">
        <f t="shared" si="3"/>
        <v>DHA3430AutreDHA6550DHA6840Oui</v>
      </c>
      <c r="G204" s="32">
        <v>11.5</v>
      </c>
    </row>
    <row r="205" spans="1:7" x14ac:dyDescent="0.35">
      <c r="A205" t="s">
        <v>150</v>
      </c>
      <c r="B205" t="s">
        <v>1043</v>
      </c>
      <c r="C205" t="s">
        <v>162</v>
      </c>
      <c r="D205" t="s">
        <v>147</v>
      </c>
      <c r="E205" t="s">
        <v>1016</v>
      </c>
      <c r="F205" t="str">
        <f t="shared" si="3"/>
        <v>DHA3430AutreDHA6550DHA6840Non</v>
      </c>
      <c r="G205" s="32">
        <v>18</v>
      </c>
    </row>
    <row r="206" spans="1:7" x14ac:dyDescent="0.35">
      <c r="A206" t="s">
        <v>180</v>
      </c>
      <c r="B206" t="s">
        <v>178</v>
      </c>
      <c r="C206" t="s">
        <v>162</v>
      </c>
      <c r="D206" t="s">
        <v>145</v>
      </c>
      <c r="E206" t="s">
        <v>1015</v>
      </c>
      <c r="F206" t="str">
        <f t="shared" si="3"/>
        <v>DHA3440DHA3490DHA6550DHA6820Oui</v>
      </c>
      <c r="G206" s="32" t="s">
        <v>194</v>
      </c>
    </row>
    <row r="207" spans="1:7" x14ac:dyDescent="0.35">
      <c r="A207" t="s">
        <v>180</v>
      </c>
      <c r="B207" t="s">
        <v>178</v>
      </c>
      <c r="C207" t="s">
        <v>162</v>
      </c>
      <c r="D207" t="s">
        <v>145</v>
      </c>
      <c r="E207" t="s">
        <v>1016</v>
      </c>
      <c r="F207" t="str">
        <f t="shared" si="3"/>
        <v>DHA3440DHA3490DHA6550DHA6820Non</v>
      </c>
      <c r="G207" s="32" t="s">
        <v>194</v>
      </c>
    </row>
    <row r="208" spans="1:7" x14ac:dyDescent="0.35">
      <c r="A208" t="s">
        <v>180</v>
      </c>
      <c r="B208" t="s">
        <v>178</v>
      </c>
      <c r="C208" t="s">
        <v>162</v>
      </c>
      <c r="D208" t="s">
        <v>146</v>
      </c>
      <c r="E208" t="s">
        <v>1015</v>
      </c>
      <c r="F208" t="str">
        <f t="shared" si="3"/>
        <v>DHA3440DHA3490DHA6550DHA6830Oui</v>
      </c>
      <c r="G208" s="32" t="s">
        <v>194</v>
      </c>
    </row>
    <row r="209" spans="1:7" x14ac:dyDescent="0.35">
      <c r="A209" t="s">
        <v>180</v>
      </c>
      <c r="B209" t="s">
        <v>178</v>
      </c>
      <c r="C209" t="s">
        <v>162</v>
      </c>
      <c r="D209" t="s">
        <v>146</v>
      </c>
      <c r="E209" t="s">
        <v>1016</v>
      </c>
      <c r="F209" t="str">
        <f t="shared" si="3"/>
        <v>DHA3440DHA3490DHA6550DHA6830Non</v>
      </c>
      <c r="G209" s="32" t="s">
        <v>194</v>
      </c>
    </row>
    <row r="210" spans="1:7" x14ac:dyDescent="0.35">
      <c r="A210" t="s">
        <v>180</v>
      </c>
      <c r="B210" t="s">
        <v>178</v>
      </c>
      <c r="C210" t="s">
        <v>162</v>
      </c>
      <c r="D210" t="s">
        <v>147</v>
      </c>
      <c r="E210" t="s">
        <v>1015</v>
      </c>
      <c r="F210" t="str">
        <f t="shared" si="3"/>
        <v>DHA3440DHA3490DHA6550DHA6840Oui</v>
      </c>
      <c r="G210" s="32" t="s">
        <v>194</v>
      </c>
    </row>
    <row r="211" spans="1:7" x14ac:dyDescent="0.35">
      <c r="A211" t="s">
        <v>180</v>
      </c>
      <c r="B211" t="s">
        <v>178</v>
      </c>
      <c r="C211" t="s">
        <v>162</v>
      </c>
      <c r="D211" t="s">
        <v>147</v>
      </c>
      <c r="E211" t="s">
        <v>1016</v>
      </c>
      <c r="F211" t="str">
        <f t="shared" si="3"/>
        <v>DHA3440DHA3490DHA6550DHA6840Non</v>
      </c>
      <c r="G211" s="32" t="s">
        <v>194</v>
      </c>
    </row>
    <row r="212" spans="1:7" x14ac:dyDescent="0.35">
      <c r="A212" t="s">
        <v>180</v>
      </c>
      <c r="B212" t="s">
        <v>1043</v>
      </c>
      <c r="C212" t="s">
        <v>162</v>
      </c>
      <c r="D212" t="s">
        <v>145</v>
      </c>
      <c r="E212" t="s">
        <v>1015</v>
      </c>
      <c r="F212" t="str">
        <f t="shared" si="3"/>
        <v>DHA3440AutreDHA6550DHA6820Oui</v>
      </c>
      <c r="G212" s="32">
        <v>6</v>
      </c>
    </row>
    <row r="213" spans="1:7" x14ac:dyDescent="0.35">
      <c r="A213" t="s">
        <v>180</v>
      </c>
      <c r="B213" t="s">
        <v>1043</v>
      </c>
      <c r="C213" t="s">
        <v>162</v>
      </c>
      <c r="D213" t="s">
        <v>145</v>
      </c>
      <c r="E213" t="s">
        <v>1016</v>
      </c>
      <c r="F213" t="str">
        <f t="shared" si="3"/>
        <v>DHA3440AutreDHA6550DHA6820Non</v>
      </c>
      <c r="G213" s="32">
        <v>13.5</v>
      </c>
    </row>
    <row r="214" spans="1:7" x14ac:dyDescent="0.35">
      <c r="A214" t="s">
        <v>180</v>
      </c>
      <c r="B214" t="s">
        <v>1043</v>
      </c>
      <c r="C214" t="s">
        <v>162</v>
      </c>
      <c r="D214" t="s">
        <v>146</v>
      </c>
      <c r="E214" t="s">
        <v>1015</v>
      </c>
      <c r="F214" t="str">
        <f t="shared" si="3"/>
        <v>DHA3440AutreDHA6550DHA6830Oui</v>
      </c>
      <c r="G214" s="32">
        <v>6</v>
      </c>
    </row>
    <row r="215" spans="1:7" x14ac:dyDescent="0.35">
      <c r="A215" t="s">
        <v>180</v>
      </c>
      <c r="B215" t="s">
        <v>1043</v>
      </c>
      <c r="C215" t="s">
        <v>162</v>
      </c>
      <c r="D215" t="s">
        <v>146</v>
      </c>
      <c r="E215" t="s">
        <v>1016</v>
      </c>
      <c r="F215" t="str">
        <f t="shared" si="3"/>
        <v>DHA3440AutreDHA6550DHA6830Non</v>
      </c>
      <c r="G215" s="32">
        <v>20.5</v>
      </c>
    </row>
    <row r="216" spans="1:7" x14ac:dyDescent="0.35">
      <c r="A216" t="s">
        <v>180</v>
      </c>
      <c r="B216" t="s">
        <v>1043</v>
      </c>
      <c r="C216" t="s">
        <v>162</v>
      </c>
      <c r="D216" t="s">
        <v>147</v>
      </c>
      <c r="E216" t="s">
        <v>1015</v>
      </c>
      <c r="F216" t="str">
        <f t="shared" si="3"/>
        <v>DHA3440AutreDHA6550DHA6840Oui</v>
      </c>
      <c r="G216" s="32">
        <v>11.5</v>
      </c>
    </row>
    <row r="217" spans="1:7" x14ac:dyDescent="0.35">
      <c r="A217" t="s">
        <v>180</v>
      </c>
      <c r="B217" t="s">
        <v>1043</v>
      </c>
      <c r="C217" t="s">
        <v>162</v>
      </c>
      <c r="D217" t="s">
        <v>147</v>
      </c>
      <c r="E217" t="s">
        <v>1016</v>
      </c>
      <c r="F217" t="str">
        <f t="shared" si="3"/>
        <v>DHA3440AutreDHA6550DHA6840Non</v>
      </c>
      <c r="G217" s="32">
        <v>18</v>
      </c>
    </row>
    <row r="218" spans="1:7" x14ac:dyDescent="0.35">
      <c r="A218" t="s">
        <v>181</v>
      </c>
      <c r="B218" t="s">
        <v>178</v>
      </c>
      <c r="C218" t="s">
        <v>162</v>
      </c>
      <c r="D218" t="s">
        <v>145</v>
      </c>
      <c r="E218" t="s">
        <v>1015</v>
      </c>
      <c r="F218" t="str">
        <f t="shared" si="3"/>
        <v>DHA3450DHA3490DHA6550DHA6820Oui</v>
      </c>
      <c r="G218" s="32" t="s">
        <v>194</v>
      </c>
    </row>
    <row r="219" spans="1:7" x14ac:dyDescent="0.35">
      <c r="A219" t="s">
        <v>181</v>
      </c>
      <c r="B219" t="s">
        <v>178</v>
      </c>
      <c r="C219" t="s">
        <v>162</v>
      </c>
      <c r="D219" t="s">
        <v>145</v>
      </c>
      <c r="E219" t="s">
        <v>1016</v>
      </c>
      <c r="F219" t="str">
        <f t="shared" si="3"/>
        <v>DHA3450DHA3490DHA6550DHA6820Non</v>
      </c>
      <c r="G219" s="32" t="s">
        <v>194</v>
      </c>
    </row>
    <row r="220" spans="1:7" x14ac:dyDescent="0.35">
      <c r="A220" t="s">
        <v>181</v>
      </c>
      <c r="B220" t="s">
        <v>178</v>
      </c>
      <c r="C220" t="s">
        <v>162</v>
      </c>
      <c r="D220" t="s">
        <v>146</v>
      </c>
      <c r="E220" t="s">
        <v>1015</v>
      </c>
      <c r="F220" t="str">
        <f t="shared" si="3"/>
        <v>DHA3450DHA3490DHA6550DHA6830Oui</v>
      </c>
      <c r="G220" s="32" t="s">
        <v>194</v>
      </c>
    </row>
    <row r="221" spans="1:7" x14ac:dyDescent="0.35">
      <c r="A221" t="s">
        <v>181</v>
      </c>
      <c r="B221" t="s">
        <v>178</v>
      </c>
      <c r="C221" t="s">
        <v>162</v>
      </c>
      <c r="D221" t="s">
        <v>146</v>
      </c>
      <c r="E221" t="s">
        <v>1016</v>
      </c>
      <c r="F221" t="str">
        <f t="shared" si="3"/>
        <v>DHA3450DHA3490DHA6550DHA6830Non</v>
      </c>
      <c r="G221" s="32" t="s">
        <v>194</v>
      </c>
    </row>
    <row r="222" spans="1:7" x14ac:dyDescent="0.35">
      <c r="A222" t="s">
        <v>181</v>
      </c>
      <c r="B222" t="s">
        <v>178</v>
      </c>
      <c r="C222" t="s">
        <v>162</v>
      </c>
      <c r="D222" t="s">
        <v>147</v>
      </c>
      <c r="E222" t="s">
        <v>1015</v>
      </c>
      <c r="F222" t="str">
        <f t="shared" si="3"/>
        <v>DHA3450DHA3490DHA6550DHA6840Oui</v>
      </c>
      <c r="G222" s="32" t="s">
        <v>194</v>
      </c>
    </row>
    <row r="223" spans="1:7" x14ac:dyDescent="0.35">
      <c r="A223" t="s">
        <v>181</v>
      </c>
      <c r="B223" t="s">
        <v>178</v>
      </c>
      <c r="C223" t="s">
        <v>162</v>
      </c>
      <c r="D223" t="s">
        <v>147</v>
      </c>
      <c r="E223" t="s">
        <v>1016</v>
      </c>
      <c r="F223" t="str">
        <f t="shared" si="3"/>
        <v>DHA3450DHA3490DHA6550DHA6840Non</v>
      </c>
      <c r="G223" s="32" t="s">
        <v>194</v>
      </c>
    </row>
    <row r="224" spans="1:7" x14ac:dyDescent="0.35">
      <c r="A224" t="s">
        <v>181</v>
      </c>
      <c r="B224" t="s">
        <v>1043</v>
      </c>
      <c r="C224" t="s">
        <v>162</v>
      </c>
      <c r="D224" t="s">
        <v>145</v>
      </c>
      <c r="E224" t="s">
        <v>1015</v>
      </c>
      <c r="F224" t="str">
        <f t="shared" si="3"/>
        <v>DHA3450AutreDHA6550DHA6820Oui</v>
      </c>
      <c r="G224" s="32">
        <v>6</v>
      </c>
    </row>
    <row r="225" spans="1:7" x14ac:dyDescent="0.35">
      <c r="A225" t="s">
        <v>181</v>
      </c>
      <c r="B225" t="s">
        <v>1043</v>
      </c>
      <c r="C225" t="s">
        <v>162</v>
      </c>
      <c r="D225" t="s">
        <v>145</v>
      </c>
      <c r="E225" t="s">
        <v>1016</v>
      </c>
      <c r="F225" t="str">
        <f t="shared" si="3"/>
        <v>DHA3450AutreDHA6550DHA6820Non</v>
      </c>
      <c r="G225" s="32">
        <v>13.5</v>
      </c>
    </row>
    <row r="226" spans="1:7" x14ac:dyDescent="0.35">
      <c r="A226" t="s">
        <v>181</v>
      </c>
      <c r="B226" t="s">
        <v>1043</v>
      </c>
      <c r="C226" t="s">
        <v>162</v>
      </c>
      <c r="D226" t="s">
        <v>146</v>
      </c>
      <c r="E226" t="s">
        <v>1015</v>
      </c>
      <c r="F226" t="str">
        <f t="shared" si="3"/>
        <v>DHA3450AutreDHA6550DHA6830Oui</v>
      </c>
      <c r="G226" s="32">
        <v>6</v>
      </c>
    </row>
    <row r="227" spans="1:7" x14ac:dyDescent="0.35">
      <c r="A227" t="s">
        <v>181</v>
      </c>
      <c r="B227" t="s">
        <v>1043</v>
      </c>
      <c r="C227" t="s">
        <v>162</v>
      </c>
      <c r="D227" t="s">
        <v>146</v>
      </c>
      <c r="E227" t="s">
        <v>1016</v>
      </c>
      <c r="F227" t="str">
        <f t="shared" si="3"/>
        <v>DHA3450AutreDHA6550DHA6830Non</v>
      </c>
      <c r="G227" s="32">
        <v>20.5</v>
      </c>
    </row>
    <row r="228" spans="1:7" x14ac:dyDescent="0.35">
      <c r="A228" t="s">
        <v>181</v>
      </c>
      <c r="B228" t="s">
        <v>1043</v>
      </c>
      <c r="C228" t="s">
        <v>162</v>
      </c>
      <c r="D228" t="s">
        <v>147</v>
      </c>
      <c r="E228" t="s">
        <v>1015</v>
      </c>
      <c r="F228" t="str">
        <f t="shared" si="3"/>
        <v>DHA3450AutreDHA6550DHA6840Oui</v>
      </c>
      <c r="G228" s="32">
        <v>11.5</v>
      </c>
    </row>
    <row r="229" spans="1:7" x14ac:dyDescent="0.35">
      <c r="A229" t="s">
        <v>181</v>
      </c>
      <c r="B229" t="s">
        <v>1043</v>
      </c>
      <c r="C229" t="s">
        <v>162</v>
      </c>
      <c r="D229" t="s">
        <v>147</v>
      </c>
      <c r="E229" t="s">
        <v>1016</v>
      </c>
      <c r="F229" t="str">
        <f t="shared" si="3"/>
        <v>DHA3450AutreDHA6550DHA6840Non</v>
      </c>
      <c r="G229" s="32">
        <v>18</v>
      </c>
    </row>
    <row r="230" spans="1:7" x14ac:dyDescent="0.35">
      <c r="A230" t="s">
        <v>1043</v>
      </c>
      <c r="B230" t="s">
        <v>178</v>
      </c>
      <c r="C230" t="s">
        <v>162</v>
      </c>
      <c r="D230" t="s">
        <v>145</v>
      </c>
      <c r="E230" t="s">
        <v>1015</v>
      </c>
      <c r="F230" t="str">
        <f t="shared" si="3"/>
        <v>AutreDHA3490DHA6550DHA6820Oui</v>
      </c>
      <c r="G230" s="32">
        <v>6</v>
      </c>
    </row>
    <row r="231" spans="1:7" x14ac:dyDescent="0.35">
      <c r="A231" t="s">
        <v>1043</v>
      </c>
      <c r="B231" t="s">
        <v>178</v>
      </c>
      <c r="C231" t="s">
        <v>162</v>
      </c>
      <c r="D231" t="s">
        <v>145</v>
      </c>
      <c r="E231" t="s">
        <v>1016</v>
      </c>
      <c r="F231" t="str">
        <f t="shared" si="3"/>
        <v>AutreDHA3490DHA6550DHA6820Non</v>
      </c>
      <c r="G231" s="32">
        <v>13.5</v>
      </c>
    </row>
    <row r="232" spans="1:7" x14ac:dyDescent="0.35">
      <c r="A232" t="s">
        <v>1043</v>
      </c>
      <c r="B232" t="s">
        <v>178</v>
      </c>
      <c r="C232" t="s">
        <v>162</v>
      </c>
      <c r="D232" t="s">
        <v>146</v>
      </c>
      <c r="E232" t="s">
        <v>1015</v>
      </c>
      <c r="F232" t="str">
        <f t="shared" si="3"/>
        <v>AutreDHA3490DHA6550DHA6830Oui</v>
      </c>
      <c r="G232" s="32">
        <v>6</v>
      </c>
    </row>
    <row r="233" spans="1:7" x14ac:dyDescent="0.35">
      <c r="A233" t="s">
        <v>1043</v>
      </c>
      <c r="B233" t="s">
        <v>178</v>
      </c>
      <c r="C233" t="s">
        <v>162</v>
      </c>
      <c r="D233" t="s">
        <v>146</v>
      </c>
      <c r="E233" t="s">
        <v>1016</v>
      </c>
      <c r="F233" t="str">
        <f t="shared" si="3"/>
        <v>AutreDHA3490DHA6550DHA6830Non</v>
      </c>
      <c r="G233" s="32">
        <v>20.5</v>
      </c>
    </row>
    <row r="234" spans="1:7" x14ac:dyDescent="0.35">
      <c r="A234" t="s">
        <v>1043</v>
      </c>
      <c r="B234" t="s">
        <v>178</v>
      </c>
      <c r="C234" t="s">
        <v>162</v>
      </c>
      <c r="D234" t="s">
        <v>147</v>
      </c>
      <c r="E234" t="s">
        <v>1015</v>
      </c>
      <c r="F234" t="str">
        <f t="shared" si="3"/>
        <v>AutreDHA3490DHA6550DHA6840Oui</v>
      </c>
      <c r="G234" s="32">
        <v>11.5</v>
      </c>
    </row>
    <row r="235" spans="1:7" x14ac:dyDescent="0.35">
      <c r="A235" t="s">
        <v>1043</v>
      </c>
      <c r="B235" t="s">
        <v>178</v>
      </c>
      <c r="C235" t="s">
        <v>162</v>
      </c>
      <c r="D235" t="s">
        <v>147</v>
      </c>
      <c r="E235" t="s">
        <v>1016</v>
      </c>
      <c r="F235" t="str">
        <f t="shared" si="3"/>
        <v>AutreDHA3490DHA6550DHA6840Non</v>
      </c>
      <c r="G235" s="32">
        <v>18</v>
      </c>
    </row>
    <row r="236" spans="1:7" x14ac:dyDescent="0.35">
      <c r="A236" t="s">
        <v>1043</v>
      </c>
      <c r="B236" t="s">
        <v>1043</v>
      </c>
      <c r="C236" t="s">
        <v>162</v>
      </c>
      <c r="D236" t="s">
        <v>145</v>
      </c>
      <c r="E236" t="s">
        <v>1015</v>
      </c>
      <c r="F236" t="str">
        <f t="shared" si="3"/>
        <v>AutreAutreDHA6550DHA6820Oui</v>
      </c>
      <c r="G236" s="32">
        <v>6</v>
      </c>
    </row>
    <row r="237" spans="1:7" x14ac:dyDescent="0.35">
      <c r="A237" t="s">
        <v>1043</v>
      </c>
      <c r="B237" t="s">
        <v>1043</v>
      </c>
      <c r="C237" t="s">
        <v>162</v>
      </c>
      <c r="D237" t="s">
        <v>145</v>
      </c>
      <c r="E237" t="s">
        <v>1016</v>
      </c>
      <c r="F237" t="str">
        <f t="shared" si="3"/>
        <v>AutreAutreDHA6550DHA6820Non</v>
      </c>
      <c r="G237" s="32">
        <v>6</v>
      </c>
    </row>
    <row r="238" spans="1:7" x14ac:dyDescent="0.35">
      <c r="A238" t="s">
        <v>1043</v>
      </c>
      <c r="B238" t="s">
        <v>1043</v>
      </c>
      <c r="C238" t="s">
        <v>162</v>
      </c>
      <c r="D238" t="s">
        <v>146</v>
      </c>
      <c r="E238" t="s">
        <v>1015</v>
      </c>
      <c r="F238" t="str">
        <f t="shared" si="3"/>
        <v>AutreAutreDHA6550DHA6830Oui</v>
      </c>
      <c r="G238" s="32">
        <v>6</v>
      </c>
    </row>
    <row r="239" spans="1:7" x14ac:dyDescent="0.35">
      <c r="A239" t="s">
        <v>1043</v>
      </c>
      <c r="B239" t="s">
        <v>1043</v>
      </c>
      <c r="C239" t="s">
        <v>162</v>
      </c>
      <c r="D239" t="s">
        <v>146</v>
      </c>
      <c r="E239" t="s">
        <v>1016</v>
      </c>
      <c r="F239" t="str">
        <f t="shared" si="3"/>
        <v>AutreAutreDHA6550DHA6830Non</v>
      </c>
      <c r="G239" s="32">
        <v>6</v>
      </c>
    </row>
    <row r="240" spans="1:7" x14ac:dyDescent="0.35">
      <c r="A240" t="s">
        <v>1043</v>
      </c>
      <c r="B240" t="s">
        <v>1043</v>
      </c>
      <c r="C240" t="s">
        <v>162</v>
      </c>
      <c r="D240" t="s">
        <v>147</v>
      </c>
      <c r="E240" t="s">
        <v>1015</v>
      </c>
      <c r="F240" t="str">
        <f t="shared" si="3"/>
        <v>AutreAutreDHA6550DHA6840Oui</v>
      </c>
      <c r="G240" s="32">
        <v>11.5</v>
      </c>
    </row>
    <row r="241" spans="1:7" x14ac:dyDescent="0.35">
      <c r="A241" t="s">
        <v>1043</v>
      </c>
      <c r="B241" t="s">
        <v>1043</v>
      </c>
      <c r="C241" t="s">
        <v>162</v>
      </c>
      <c r="D241" t="s">
        <v>147</v>
      </c>
      <c r="E241" t="s">
        <v>1016</v>
      </c>
      <c r="F241" t="str">
        <f t="shared" si="3"/>
        <v>AutreAutreDHA6550DHA6840Non</v>
      </c>
      <c r="G241" s="32">
        <v>18</v>
      </c>
    </row>
  </sheetData>
  <autoFilter ref="A1:E241" xr:uid="{561860A5-EDAB-48F2-B65B-AA2E31BE8D06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0ACDF-3E2D-430B-82A7-12836C719FCC}">
  <dimension ref="A2:Y134"/>
  <sheetViews>
    <sheetView topLeftCell="A74" zoomScale="85" zoomScaleNormal="85" workbookViewId="0">
      <selection activeCell="D92" sqref="D92"/>
    </sheetView>
  </sheetViews>
  <sheetFormatPr defaultColWidth="8.90625" defaultRowHeight="14.5" x14ac:dyDescent="0.35"/>
  <cols>
    <col min="1" max="1" width="12.81640625" customWidth="1"/>
    <col min="2" max="2" width="21.90625" bestFit="1" customWidth="1"/>
  </cols>
  <sheetData>
    <row r="2" spans="1:25" ht="15" thickBot="1" x14ac:dyDescent="0.4">
      <c r="M2" s="21"/>
    </row>
    <row r="3" spans="1:25" ht="15" thickBot="1" x14ac:dyDescent="0.4">
      <c r="A3" s="454" t="s">
        <v>25</v>
      </c>
      <c r="B3" s="455"/>
      <c r="C3" s="454" t="s">
        <v>50</v>
      </c>
      <c r="D3" s="456"/>
      <c r="E3" s="456"/>
      <c r="F3" s="456"/>
      <c r="G3" s="456"/>
      <c r="H3" s="455"/>
      <c r="M3" s="22"/>
    </row>
    <row r="4" spans="1:25" x14ac:dyDescent="0.35">
      <c r="A4" s="348" t="s">
        <v>204</v>
      </c>
      <c r="B4" s="402"/>
      <c r="C4" s="74" t="s">
        <v>209</v>
      </c>
      <c r="D4" s="61"/>
      <c r="E4" s="61"/>
      <c r="F4" s="61"/>
      <c r="G4" s="61"/>
      <c r="H4" s="69"/>
      <c r="M4" s="22"/>
    </row>
    <row r="5" spans="1:25" x14ac:dyDescent="0.35">
      <c r="A5" s="63" t="s">
        <v>1017</v>
      </c>
      <c r="B5" s="64" t="s">
        <v>206</v>
      </c>
      <c r="C5" s="72">
        <v>0</v>
      </c>
      <c r="D5" s="67"/>
      <c r="E5" s="67"/>
      <c r="F5" s="67"/>
      <c r="G5" s="67"/>
      <c r="H5" s="70"/>
      <c r="M5" s="22"/>
    </row>
    <row r="6" spans="1:25" x14ac:dyDescent="0.35">
      <c r="A6" s="63" t="s">
        <v>1059</v>
      </c>
      <c r="B6" s="64" t="s">
        <v>207</v>
      </c>
      <c r="C6" s="73">
        <v>20</v>
      </c>
      <c r="D6" s="68"/>
      <c r="E6" s="68"/>
      <c r="F6" s="68"/>
      <c r="G6" s="68"/>
      <c r="H6" s="71"/>
      <c r="M6" s="22"/>
    </row>
    <row r="7" spans="1:25" x14ac:dyDescent="0.35">
      <c r="A7" s="351" t="s">
        <v>1205</v>
      </c>
      <c r="B7" s="351"/>
      <c r="C7" s="321"/>
      <c r="D7" s="322"/>
      <c r="E7" s="67"/>
      <c r="F7" s="67"/>
      <c r="G7" s="67"/>
      <c r="H7" s="70"/>
      <c r="M7" s="22"/>
    </row>
    <row r="8" spans="1:25" x14ac:dyDescent="0.35">
      <c r="A8" s="28" t="s">
        <v>1206</v>
      </c>
      <c r="B8" s="323" t="s">
        <v>1207</v>
      </c>
      <c r="C8" s="324">
        <v>75</v>
      </c>
      <c r="D8" s="33">
        <v>8</v>
      </c>
      <c r="E8" s="67"/>
      <c r="F8" s="67"/>
      <c r="G8" s="67"/>
      <c r="H8" s="70"/>
      <c r="M8" s="22"/>
    </row>
    <row r="9" spans="1:25" x14ac:dyDescent="0.35">
      <c r="A9" s="28" t="s">
        <v>620</v>
      </c>
      <c r="B9" s="325" t="s">
        <v>1208</v>
      </c>
      <c r="C9" s="324">
        <v>90</v>
      </c>
      <c r="D9" s="33">
        <v>4</v>
      </c>
      <c r="E9" s="67"/>
      <c r="F9" s="67"/>
      <c r="G9" s="67"/>
      <c r="H9" s="70"/>
      <c r="M9" s="22"/>
    </row>
    <row r="10" spans="1:25" ht="15" thickBot="1" x14ac:dyDescent="0.4">
      <c r="A10" s="367" t="s">
        <v>24</v>
      </c>
      <c r="B10" s="400"/>
      <c r="C10" s="37" t="s">
        <v>208</v>
      </c>
      <c r="D10" s="24"/>
      <c r="E10" s="24"/>
      <c r="F10" s="24"/>
      <c r="G10" s="24"/>
      <c r="H10" s="7"/>
      <c r="M10" s="22"/>
    </row>
    <row r="11" spans="1:25" ht="14.4" customHeight="1" x14ac:dyDescent="0.35">
      <c r="A11" s="12" t="s">
        <v>3</v>
      </c>
      <c r="B11" s="29" t="s">
        <v>203</v>
      </c>
      <c r="C11" s="1">
        <v>298</v>
      </c>
      <c r="D11" s="49"/>
      <c r="E11" s="4"/>
      <c r="F11" s="4"/>
      <c r="G11" s="8"/>
      <c r="H11" s="38"/>
      <c r="I11" s="18"/>
      <c r="S11" s="356" t="s">
        <v>205</v>
      </c>
      <c r="T11" s="357"/>
      <c r="U11" s="357"/>
      <c r="V11" s="357"/>
      <c r="W11" s="357"/>
      <c r="X11" s="357"/>
      <c r="Y11" s="358"/>
    </row>
    <row r="12" spans="1:25" ht="14.4" customHeight="1" x14ac:dyDescent="0.35">
      <c r="A12" s="12" t="s">
        <v>4</v>
      </c>
      <c r="B12" s="29" t="s">
        <v>202</v>
      </c>
      <c r="C12" s="1">
        <v>318</v>
      </c>
      <c r="D12" s="49"/>
      <c r="E12" s="4"/>
      <c r="F12" s="4"/>
      <c r="G12" s="4"/>
      <c r="H12" s="2"/>
      <c r="S12" s="359"/>
      <c r="T12" s="360"/>
      <c r="U12" s="360"/>
      <c r="V12" s="360"/>
      <c r="W12" s="360"/>
      <c r="X12" s="360"/>
      <c r="Y12" s="361"/>
    </row>
    <row r="13" spans="1:25" ht="14.4" customHeight="1" thickBot="1" x14ac:dyDescent="0.4">
      <c r="A13" s="12" t="s">
        <v>5</v>
      </c>
      <c r="B13" s="29" t="s">
        <v>201</v>
      </c>
      <c r="C13" s="1">
        <v>338</v>
      </c>
      <c r="D13" s="49"/>
      <c r="E13" s="4"/>
      <c r="F13" s="4"/>
      <c r="G13" s="4"/>
      <c r="H13" s="2"/>
      <c r="S13" s="362"/>
      <c r="T13" s="363"/>
      <c r="U13" s="363"/>
      <c r="V13" s="363"/>
      <c r="W13" s="363"/>
      <c r="X13" s="363"/>
      <c r="Y13" s="364"/>
    </row>
    <row r="14" spans="1:25" x14ac:dyDescent="0.35">
      <c r="A14" s="12" t="s">
        <v>6</v>
      </c>
      <c r="B14" s="29" t="s">
        <v>200</v>
      </c>
      <c r="C14" s="1">
        <v>358</v>
      </c>
      <c r="D14" s="49"/>
      <c r="E14" s="4"/>
      <c r="F14" s="4"/>
      <c r="G14" s="4"/>
      <c r="H14" s="2"/>
      <c r="T14" s="20"/>
    </row>
    <row r="15" spans="1:25" x14ac:dyDescent="0.35">
      <c r="A15" s="12" t="s">
        <v>16</v>
      </c>
      <c r="B15" s="29" t="s">
        <v>199</v>
      </c>
      <c r="C15" s="1">
        <v>378</v>
      </c>
      <c r="D15" s="49"/>
      <c r="E15" s="4"/>
      <c r="F15" s="4"/>
      <c r="G15" s="4"/>
      <c r="H15" s="2"/>
      <c r="J15" s="19"/>
    </row>
    <row r="16" spans="1:25" x14ac:dyDescent="0.35">
      <c r="A16" s="12" t="s">
        <v>17</v>
      </c>
      <c r="B16" s="29" t="s">
        <v>195</v>
      </c>
      <c r="C16" s="120">
        <v>398</v>
      </c>
      <c r="D16" s="50"/>
      <c r="E16" s="5"/>
      <c r="F16" s="5"/>
      <c r="G16" s="5"/>
      <c r="H16" s="3"/>
    </row>
    <row r="17" spans="1:8" x14ac:dyDescent="0.35">
      <c r="A17" s="367" t="s">
        <v>276</v>
      </c>
      <c r="B17" s="400"/>
      <c r="C17" s="296" t="s">
        <v>418</v>
      </c>
      <c r="D17" s="49"/>
      <c r="E17" s="4"/>
      <c r="F17" s="4"/>
      <c r="G17" s="4"/>
      <c r="H17" s="2"/>
    </row>
    <row r="18" spans="1:8" x14ac:dyDescent="0.35">
      <c r="A18" s="12" t="s">
        <v>886</v>
      </c>
      <c r="B18" s="29" t="s">
        <v>890</v>
      </c>
      <c r="C18" s="1">
        <f>385-40</f>
        <v>345</v>
      </c>
      <c r="D18" s="49"/>
      <c r="E18" s="4"/>
      <c r="F18" s="4"/>
      <c r="G18" s="4"/>
      <c r="H18" s="2"/>
    </row>
    <row r="19" spans="1:8" x14ac:dyDescent="0.35">
      <c r="A19" s="12" t="s">
        <v>887</v>
      </c>
      <c r="B19" s="29" t="s">
        <v>891</v>
      </c>
      <c r="C19" s="1">
        <f>410-40</f>
        <v>370</v>
      </c>
      <c r="D19" s="49"/>
      <c r="E19" s="4"/>
      <c r="F19" s="4"/>
      <c r="G19" s="4"/>
      <c r="H19" s="2"/>
    </row>
    <row r="20" spans="1:8" x14ac:dyDescent="0.35">
      <c r="A20" s="12" t="s">
        <v>888</v>
      </c>
      <c r="B20" s="29" t="s">
        <v>892</v>
      </c>
      <c r="C20" s="1">
        <f>435-40</f>
        <v>395</v>
      </c>
      <c r="D20" s="49"/>
      <c r="E20" s="4"/>
      <c r="F20" s="4"/>
      <c r="G20" s="4"/>
      <c r="H20" s="2"/>
    </row>
    <row r="21" spans="1:8" x14ac:dyDescent="0.35">
      <c r="A21" s="12" t="s">
        <v>283</v>
      </c>
      <c r="B21" s="29" t="s">
        <v>893</v>
      </c>
      <c r="C21" s="1">
        <f>460-40</f>
        <v>420</v>
      </c>
      <c r="D21" s="49"/>
      <c r="E21" s="4"/>
      <c r="F21" s="4"/>
      <c r="G21" s="4"/>
      <c r="H21" s="2"/>
    </row>
    <row r="22" spans="1:8" x14ac:dyDescent="0.35">
      <c r="A22" s="12" t="s">
        <v>889</v>
      </c>
      <c r="B22" s="29" t="s">
        <v>894</v>
      </c>
      <c r="C22" s="1">
        <f>485-40</f>
        <v>445</v>
      </c>
      <c r="D22" s="49"/>
      <c r="E22" s="4"/>
      <c r="F22" s="4"/>
      <c r="G22" s="4"/>
      <c r="H22" s="2"/>
    </row>
    <row r="23" spans="1:8" x14ac:dyDescent="0.35">
      <c r="A23" s="367" t="s">
        <v>477</v>
      </c>
      <c r="B23" s="400"/>
      <c r="C23" s="300" t="s">
        <v>474</v>
      </c>
      <c r="D23" s="210"/>
      <c r="E23" s="24"/>
      <c r="F23" s="24"/>
      <c r="G23" s="24"/>
      <c r="H23" s="7"/>
    </row>
    <row r="24" spans="1:8" x14ac:dyDescent="0.35">
      <c r="A24" s="12" t="s">
        <v>683</v>
      </c>
      <c r="B24" s="29" t="s">
        <v>895</v>
      </c>
      <c r="C24" s="1">
        <v>270</v>
      </c>
      <c r="D24" s="49"/>
      <c r="E24" s="4"/>
      <c r="F24" s="4"/>
      <c r="G24" s="4"/>
      <c r="H24" s="2"/>
    </row>
    <row r="25" spans="1:8" x14ac:dyDescent="0.35">
      <c r="A25" s="12" t="s">
        <v>684</v>
      </c>
      <c r="B25" s="29" t="s">
        <v>896</v>
      </c>
      <c r="C25" s="1">
        <v>285</v>
      </c>
      <c r="D25" s="49"/>
      <c r="E25" s="4"/>
      <c r="F25" s="4"/>
      <c r="G25" s="4"/>
      <c r="H25" s="2"/>
    </row>
    <row r="26" spans="1:8" x14ac:dyDescent="0.35">
      <c r="A26" s="12" t="s">
        <v>294</v>
      </c>
      <c r="B26" s="29" t="s">
        <v>897</v>
      </c>
      <c r="C26" s="1">
        <v>300</v>
      </c>
      <c r="D26" s="49"/>
      <c r="E26" s="4"/>
      <c r="F26" s="4"/>
      <c r="G26" s="4"/>
      <c r="H26" s="2"/>
    </row>
    <row r="27" spans="1:8" x14ac:dyDescent="0.35">
      <c r="A27" s="12" t="s">
        <v>295</v>
      </c>
      <c r="B27" s="29" t="s">
        <v>898</v>
      </c>
      <c r="C27" s="1">
        <v>315</v>
      </c>
      <c r="D27" s="49"/>
      <c r="E27" s="4"/>
      <c r="F27" s="4"/>
      <c r="G27" s="4"/>
      <c r="H27" s="2"/>
    </row>
    <row r="28" spans="1:8" x14ac:dyDescent="0.35">
      <c r="A28" s="12" t="s">
        <v>296</v>
      </c>
      <c r="B28" s="29" t="s">
        <v>899</v>
      </c>
      <c r="C28" s="1">
        <v>330</v>
      </c>
      <c r="D28" s="49"/>
      <c r="E28" s="4"/>
      <c r="F28" s="4"/>
      <c r="G28" s="4"/>
      <c r="H28" s="2"/>
    </row>
    <row r="29" spans="1:8" x14ac:dyDescent="0.35">
      <c r="A29" s="12" t="s">
        <v>297</v>
      </c>
      <c r="B29" s="29" t="s">
        <v>900</v>
      </c>
      <c r="C29" s="1">
        <v>345</v>
      </c>
      <c r="D29" s="49"/>
      <c r="E29" s="4"/>
      <c r="F29" s="4"/>
      <c r="G29" s="4"/>
      <c r="H29" s="2"/>
    </row>
    <row r="30" spans="1:8" x14ac:dyDescent="0.35">
      <c r="A30" s="12" t="s">
        <v>298</v>
      </c>
      <c r="B30" s="29" t="s">
        <v>901</v>
      </c>
      <c r="C30" s="1">
        <v>360</v>
      </c>
      <c r="D30" s="49"/>
      <c r="E30" s="4"/>
      <c r="F30" s="4"/>
      <c r="G30" s="4"/>
      <c r="H30" s="2"/>
    </row>
    <row r="31" spans="1:8" x14ac:dyDescent="0.35">
      <c r="A31" s="12" t="s">
        <v>299</v>
      </c>
      <c r="B31" s="29" t="s">
        <v>902</v>
      </c>
      <c r="C31" s="1">
        <v>375</v>
      </c>
      <c r="D31" s="49"/>
      <c r="E31" s="4"/>
      <c r="F31" s="4"/>
      <c r="G31" s="4"/>
      <c r="H31" s="2"/>
    </row>
    <row r="32" spans="1:8" x14ac:dyDescent="0.35">
      <c r="A32" s="12" t="s">
        <v>300</v>
      </c>
      <c r="B32" s="29" t="s">
        <v>903</v>
      </c>
      <c r="C32" s="1">
        <v>390</v>
      </c>
      <c r="D32" s="49"/>
      <c r="E32" s="4"/>
      <c r="F32" s="4"/>
      <c r="G32" s="4"/>
      <c r="H32" s="2"/>
    </row>
    <row r="33" spans="1:16" x14ac:dyDescent="0.35">
      <c r="A33" s="12" t="s">
        <v>301</v>
      </c>
      <c r="B33" s="29" t="s">
        <v>904</v>
      </c>
      <c r="C33" s="1">
        <v>405</v>
      </c>
      <c r="D33" s="49"/>
      <c r="E33" s="4"/>
      <c r="F33" s="4"/>
      <c r="G33" s="4"/>
      <c r="H33" s="2"/>
    </row>
    <row r="34" spans="1:16" x14ac:dyDescent="0.35">
      <c r="A34" s="12" t="s">
        <v>302</v>
      </c>
      <c r="B34" s="29" t="s">
        <v>905</v>
      </c>
      <c r="C34" s="120">
        <v>420</v>
      </c>
      <c r="D34" s="50"/>
      <c r="E34" s="5"/>
      <c r="F34" s="5"/>
      <c r="G34" s="5"/>
      <c r="H34" s="3"/>
    </row>
    <row r="35" spans="1:16" x14ac:dyDescent="0.35">
      <c r="A35" s="367" t="s">
        <v>318</v>
      </c>
      <c r="B35" s="400"/>
      <c r="C35" s="296" t="s">
        <v>478</v>
      </c>
      <c r="D35" s="326"/>
      <c r="E35" s="300" t="s">
        <v>1176</v>
      </c>
      <c r="F35" s="169" t="s">
        <v>1209</v>
      </c>
      <c r="G35" s="169" t="s">
        <v>1210</v>
      </c>
      <c r="H35" s="169" t="s">
        <v>1211</v>
      </c>
      <c r="I35" s="169" t="s">
        <v>1212</v>
      </c>
      <c r="J35" s="169" t="s">
        <v>1213</v>
      </c>
      <c r="K35" s="169" t="s">
        <v>1214</v>
      </c>
      <c r="L35" s="169" t="s">
        <v>1215</v>
      </c>
      <c r="M35" s="169" t="s">
        <v>476</v>
      </c>
      <c r="N35" s="169" t="s">
        <v>1178</v>
      </c>
      <c r="O35" s="27" t="s">
        <v>1179</v>
      </c>
      <c r="P35" s="2"/>
    </row>
    <row r="36" spans="1:16" x14ac:dyDescent="0.35">
      <c r="A36" s="12" t="s">
        <v>319</v>
      </c>
      <c r="B36" s="302" t="s">
        <v>895</v>
      </c>
      <c r="C36" s="1">
        <v>450</v>
      </c>
      <c r="D36" s="327"/>
      <c r="E36" s="1">
        <v>20</v>
      </c>
      <c r="F36">
        <v>72</v>
      </c>
      <c r="G36" s="22">
        <f>F36/(180/3.141592)</f>
        <v>1.2566368000000001</v>
      </c>
      <c r="H36" s="328">
        <v>80</v>
      </c>
      <c r="I36" s="328">
        <v>65</v>
      </c>
      <c r="J36" s="328">
        <v>50</v>
      </c>
      <c r="K36" s="328">
        <v>35</v>
      </c>
      <c r="L36" s="328">
        <v>20</v>
      </c>
      <c r="M36" s="22" cm="1">
        <f t="array" ref="M36">IF('[1]The KSL 2.0'!$B$29="1 = 140mm",'[1]Values KSL'!H36,IF('[1]The KSL 2.0'!$B$29="2 = 125mm",'[1]Values KSL'!I36,IF('[1]The KSL 2.0'!$B$29="3 = 110mm",'[1]Values KSL'!J36,IF('[1]The KSL 2.0'!$B$29="4 = 95mm",'[1]Values KSL'!K36,IF('[1]The KSL 2.0'!$B$29="5 = 80mm",'[1]Values KSL'!L36,ERREUR)))))</f>
        <v>50</v>
      </c>
      <c r="N36" s="22">
        <v>90</v>
      </c>
      <c r="O36" s="329">
        <v>100</v>
      </c>
      <c r="P36" s="2"/>
    </row>
    <row r="37" spans="1:16" x14ac:dyDescent="0.35">
      <c r="A37" s="12" t="s">
        <v>320</v>
      </c>
      <c r="B37" s="302" t="s">
        <v>896</v>
      </c>
      <c r="C37" s="1">
        <v>460</v>
      </c>
      <c r="D37" s="327"/>
      <c r="E37" s="1">
        <v>30</v>
      </c>
      <c r="F37">
        <v>70.5</v>
      </c>
      <c r="G37" s="22">
        <f t="shared" ref="G37:G44" si="0">F37/(180/3.141592)</f>
        <v>1.2304568666666669</v>
      </c>
      <c r="H37" s="328">
        <v>79</v>
      </c>
      <c r="I37" s="328">
        <v>64</v>
      </c>
      <c r="J37" s="328">
        <v>49</v>
      </c>
      <c r="K37" s="328">
        <v>34</v>
      </c>
      <c r="L37" s="328">
        <v>19</v>
      </c>
      <c r="M37" s="22" cm="1">
        <f t="array" ref="M37">IF('[1]The KSL 2.0'!$B$29="1 = 140mm",'[1]Values KSL'!H37,IF('[1]The KSL 2.0'!$B$29="2 = 125mm",'[1]Values KSL'!I37,IF('[1]The KSL 2.0'!$B$29="3 = 110mm",'[1]Values KSL'!J37,IF('[1]The KSL 2.0'!$B$29="4 = 95mm",'[1]Values KSL'!K37,IF('[1]The KSL 2.0'!$B$29="5 = 80mm",'[1]Values KSL'!L37,ERREUR)))))</f>
        <v>49</v>
      </c>
      <c r="N37" s="22">
        <v>90</v>
      </c>
      <c r="O37" s="329">
        <v>100</v>
      </c>
      <c r="P37" s="2"/>
    </row>
    <row r="38" spans="1:16" x14ac:dyDescent="0.35">
      <c r="A38" s="12" t="s">
        <v>321</v>
      </c>
      <c r="B38" s="302" t="s">
        <v>897</v>
      </c>
      <c r="C38" s="1">
        <v>470</v>
      </c>
      <c r="D38" s="327"/>
      <c r="E38" s="1">
        <v>40</v>
      </c>
      <c r="F38">
        <v>69</v>
      </c>
      <c r="G38" s="22">
        <f t="shared" si="0"/>
        <v>1.2042769333333334</v>
      </c>
      <c r="H38" s="328">
        <v>78</v>
      </c>
      <c r="I38" s="328">
        <v>63</v>
      </c>
      <c r="J38" s="328">
        <v>48</v>
      </c>
      <c r="K38" s="328">
        <v>33</v>
      </c>
      <c r="L38" s="328">
        <v>18</v>
      </c>
      <c r="M38" s="22" cm="1">
        <f t="array" ref="M38">IF('[1]The KSL 2.0'!$B$29="1 = 140mm",'[1]Values KSL'!H38,IF('[1]The KSL 2.0'!$B$29="2 = 125mm",'[1]Values KSL'!I38,IF('[1]The KSL 2.0'!$B$29="3 = 110mm",'[1]Values KSL'!J38,IF('[1]The KSL 2.0'!$B$29="4 = 95mm",'[1]Values KSL'!K38,IF('[1]The KSL 2.0'!$B$29="5 = 80mm",'[1]Values KSL'!L38,ERREUR)))))</f>
        <v>48</v>
      </c>
      <c r="N38" s="22">
        <v>90</v>
      </c>
      <c r="O38" s="329">
        <v>100</v>
      </c>
      <c r="P38" s="2"/>
    </row>
    <row r="39" spans="1:16" x14ac:dyDescent="0.35">
      <c r="A39" s="12" t="s">
        <v>322</v>
      </c>
      <c r="B39" s="302" t="s">
        <v>898</v>
      </c>
      <c r="C39" s="1">
        <v>480</v>
      </c>
      <c r="D39" s="327"/>
      <c r="E39" s="1">
        <v>50</v>
      </c>
      <c r="F39">
        <v>68</v>
      </c>
      <c r="G39" s="22">
        <f t="shared" si="0"/>
        <v>1.1868236444444444</v>
      </c>
      <c r="H39" s="328">
        <v>77</v>
      </c>
      <c r="I39" s="328">
        <v>62</v>
      </c>
      <c r="J39" s="328">
        <v>47</v>
      </c>
      <c r="K39" s="328">
        <v>32</v>
      </c>
      <c r="L39" s="328">
        <v>17</v>
      </c>
      <c r="M39" s="22" cm="1">
        <f t="array" ref="M39">IF('[1]The KSL 2.0'!$B$29="1 = 140mm",'[1]Values KSL'!H39,IF('[1]The KSL 2.0'!$B$29="2 = 125mm",'[1]Values KSL'!I39,IF('[1]The KSL 2.0'!$B$29="3 = 110mm",'[1]Values KSL'!J39,IF('[1]The KSL 2.0'!$B$29="4 = 95mm",'[1]Values KSL'!K39,IF('[1]The KSL 2.0'!$B$29="5 = 80mm",'[1]Values KSL'!L39,ERREUR)))))</f>
        <v>47</v>
      </c>
      <c r="N39" s="22">
        <v>85</v>
      </c>
      <c r="O39" s="329">
        <v>95</v>
      </c>
      <c r="P39" s="2"/>
    </row>
    <row r="40" spans="1:16" x14ac:dyDescent="0.35">
      <c r="A40" s="12" t="s">
        <v>323</v>
      </c>
      <c r="B40" s="302" t="s">
        <v>899</v>
      </c>
      <c r="C40" s="1">
        <v>490</v>
      </c>
      <c r="D40" s="327"/>
      <c r="E40" s="1">
        <v>60</v>
      </c>
      <c r="F40">
        <v>66</v>
      </c>
      <c r="G40" s="22">
        <f t="shared" si="0"/>
        <v>1.1519170666666667</v>
      </c>
      <c r="H40" s="328">
        <v>76</v>
      </c>
      <c r="I40" s="328">
        <v>61</v>
      </c>
      <c r="J40" s="328">
        <v>46</v>
      </c>
      <c r="K40" s="328">
        <v>31</v>
      </c>
      <c r="L40" s="328">
        <v>16</v>
      </c>
      <c r="M40" s="22" cm="1">
        <f t="array" ref="M40">IF('[1]The KSL 2.0'!$B$29="1 = 140mm",'[1]Values KSL'!H40,IF('[1]The KSL 2.0'!$B$29="2 = 125mm",'[1]Values KSL'!I40,IF('[1]The KSL 2.0'!$B$29="3 = 110mm",'[1]Values KSL'!J40,IF('[1]The KSL 2.0'!$B$29="4 = 95mm",'[1]Values KSL'!K40,IF('[1]The KSL 2.0'!$B$29="5 = 80mm",'[1]Values KSL'!L40,ERREUR)))))</f>
        <v>46</v>
      </c>
      <c r="N40" s="22">
        <v>85</v>
      </c>
      <c r="O40" s="329">
        <v>95</v>
      </c>
      <c r="P40" s="2"/>
    </row>
    <row r="41" spans="1:16" x14ac:dyDescent="0.35">
      <c r="A41" s="12" t="s">
        <v>324</v>
      </c>
      <c r="B41" s="302" t="s">
        <v>900</v>
      </c>
      <c r="C41" s="1">
        <v>500</v>
      </c>
      <c r="D41" s="327"/>
      <c r="E41" s="1">
        <v>70</v>
      </c>
      <c r="F41">
        <v>65</v>
      </c>
      <c r="G41" s="22">
        <f t="shared" si="0"/>
        <v>1.134463777777778</v>
      </c>
      <c r="H41" s="328">
        <v>75</v>
      </c>
      <c r="I41" s="328">
        <v>60</v>
      </c>
      <c r="J41" s="328">
        <v>45</v>
      </c>
      <c r="K41" s="328">
        <v>30</v>
      </c>
      <c r="L41" s="328">
        <v>15</v>
      </c>
      <c r="M41" s="22" cm="1">
        <f t="array" ref="M41">IF('[1]The KSL 2.0'!$B$29="1 = 140mm",'[1]Values KSL'!H41,IF('[1]The KSL 2.0'!$B$29="2 = 125mm",'[1]Values KSL'!I41,IF('[1]The KSL 2.0'!$B$29="3 = 110mm",'[1]Values KSL'!J41,IF('[1]The KSL 2.0'!$B$29="4 = 95mm",'[1]Values KSL'!K41,IF('[1]The KSL 2.0'!$B$29="5 = 80mm",'[1]Values KSL'!L41,ERREUR)))))</f>
        <v>45</v>
      </c>
      <c r="N41" s="22">
        <v>85</v>
      </c>
      <c r="O41" s="329">
        <v>95</v>
      </c>
      <c r="P41" s="2"/>
    </row>
    <row r="42" spans="1:16" x14ac:dyDescent="0.35">
      <c r="A42" s="12" t="s">
        <v>325</v>
      </c>
      <c r="B42" s="302" t="s">
        <v>901</v>
      </c>
      <c r="C42" s="1">
        <v>510</v>
      </c>
      <c r="D42" s="327"/>
      <c r="E42" s="1">
        <v>80</v>
      </c>
      <c r="F42">
        <v>63.5</v>
      </c>
      <c r="G42" s="22">
        <f t="shared" si="0"/>
        <v>1.1082838444444445</v>
      </c>
      <c r="H42" s="328">
        <v>74</v>
      </c>
      <c r="I42" s="328">
        <v>59</v>
      </c>
      <c r="J42" s="328">
        <v>44</v>
      </c>
      <c r="K42" s="328">
        <v>29</v>
      </c>
      <c r="L42" s="328">
        <v>14</v>
      </c>
      <c r="M42" s="22" cm="1">
        <f t="array" ref="M42">IF('[1]The KSL 2.0'!$B$29="1 = 140mm",'[1]Values KSL'!H42,IF('[1]The KSL 2.0'!$B$29="2 = 125mm",'[1]Values KSL'!I42,IF('[1]The KSL 2.0'!$B$29="3 = 110mm",'[1]Values KSL'!J42,IF('[1]The KSL 2.0'!$B$29="4 = 95mm",'[1]Values KSL'!K42,IF('[1]The KSL 2.0'!$B$29="5 = 80mm",'[1]Values KSL'!L42,ERREUR)))))</f>
        <v>44</v>
      </c>
      <c r="N42" s="22">
        <v>85</v>
      </c>
      <c r="O42" s="329">
        <v>95</v>
      </c>
      <c r="P42" s="2"/>
    </row>
    <row r="43" spans="1:16" x14ac:dyDescent="0.35">
      <c r="A43" s="12" t="s">
        <v>326</v>
      </c>
      <c r="B43" s="302" t="s">
        <v>902</v>
      </c>
      <c r="C43" s="1">
        <v>520</v>
      </c>
      <c r="D43" s="327"/>
      <c r="E43" s="1">
        <v>90</v>
      </c>
      <c r="F43">
        <v>62</v>
      </c>
      <c r="G43" s="22">
        <f t="shared" si="0"/>
        <v>1.0821039111111113</v>
      </c>
      <c r="H43" s="328">
        <v>73</v>
      </c>
      <c r="I43" s="328">
        <v>58</v>
      </c>
      <c r="J43" s="328">
        <v>43</v>
      </c>
      <c r="K43" s="328">
        <v>28</v>
      </c>
      <c r="L43" s="328">
        <v>13</v>
      </c>
      <c r="M43" s="22" cm="1">
        <f t="array" ref="M43">IF('[1]The KSL 2.0'!$B$29="1 = 140mm",'[1]Values KSL'!H43,IF('[1]The KSL 2.0'!$B$29="2 = 125mm",'[1]Values KSL'!I43,IF('[1]The KSL 2.0'!$B$29="3 = 110mm",'[1]Values KSL'!J43,IF('[1]The KSL 2.0'!$B$29="4 = 95mm",'[1]Values KSL'!K43,IF('[1]The KSL 2.0'!$B$29="5 = 80mm",'[1]Values KSL'!L43,ERREUR)))))</f>
        <v>43</v>
      </c>
      <c r="N43" s="22">
        <v>80</v>
      </c>
      <c r="O43" s="329">
        <v>90</v>
      </c>
      <c r="P43" s="2"/>
    </row>
    <row r="44" spans="1:16" x14ac:dyDescent="0.35">
      <c r="A44" s="12" t="s">
        <v>327</v>
      </c>
      <c r="B44" s="302" t="s">
        <v>903</v>
      </c>
      <c r="C44" s="1">
        <v>530</v>
      </c>
      <c r="D44" s="327"/>
      <c r="E44" s="120">
        <v>100</v>
      </c>
      <c r="F44" s="5">
        <v>61</v>
      </c>
      <c r="G44" s="330">
        <f t="shared" si="0"/>
        <v>1.0646506222222223</v>
      </c>
      <c r="H44" s="331">
        <v>72</v>
      </c>
      <c r="I44" s="331">
        <v>57</v>
      </c>
      <c r="J44" s="331">
        <v>42</v>
      </c>
      <c r="K44" s="331">
        <v>27</v>
      </c>
      <c r="L44" s="331">
        <v>12</v>
      </c>
      <c r="M44" s="330" cm="1">
        <f t="array" ref="M44">IF('[1]The KSL 2.0'!$B$29="1 = 140mm",'[1]Values KSL'!H44,IF('[1]The KSL 2.0'!$B$29="2 = 125mm",'[1]Values KSL'!I44,IF('[1]The KSL 2.0'!$B$29="3 = 110mm",'[1]Values KSL'!J44,IF('[1]The KSL 2.0'!$B$29="4 = 95mm",'[1]Values KSL'!K44,IF('[1]The KSL 2.0'!$B$29="5 = 80mm",'[1]Values KSL'!L44,ERREUR)))))</f>
        <v>42</v>
      </c>
      <c r="N44" s="330">
        <v>80</v>
      </c>
      <c r="O44" s="332">
        <v>90</v>
      </c>
      <c r="P44" s="2"/>
    </row>
    <row r="45" spans="1:16" x14ac:dyDescent="0.35">
      <c r="A45" s="367" t="s">
        <v>339</v>
      </c>
      <c r="B45" s="400"/>
      <c r="C45" s="300" t="s">
        <v>479</v>
      </c>
      <c r="D45" s="210"/>
      <c r="E45" s="24"/>
      <c r="F45" s="24"/>
      <c r="G45" s="24"/>
      <c r="H45" s="7"/>
    </row>
    <row r="46" spans="1:16" x14ac:dyDescent="0.35">
      <c r="A46" s="12" t="s">
        <v>341</v>
      </c>
      <c r="B46" s="29" t="s">
        <v>906</v>
      </c>
      <c r="C46" s="1">
        <v>400</v>
      </c>
      <c r="D46" s="49"/>
      <c r="E46" s="4"/>
      <c r="F46" s="4"/>
      <c r="G46" s="4"/>
      <c r="H46" s="2"/>
    </row>
    <row r="47" spans="1:16" x14ac:dyDescent="0.35">
      <c r="A47" s="12" t="s">
        <v>344</v>
      </c>
      <c r="B47" s="29" t="s">
        <v>907</v>
      </c>
      <c r="C47" s="1">
        <v>410</v>
      </c>
      <c r="D47" s="49"/>
      <c r="E47" s="4"/>
      <c r="F47" s="4"/>
      <c r="G47" s="4"/>
      <c r="H47" s="2"/>
    </row>
    <row r="48" spans="1:16" x14ac:dyDescent="0.35">
      <c r="A48" s="12" t="s">
        <v>346</v>
      </c>
      <c r="B48" s="29" t="s">
        <v>908</v>
      </c>
      <c r="C48" s="1">
        <v>420</v>
      </c>
      <c r="D48" s="49"/>
      <c r="E48" s="4"/>
      <c r="F48" s="4"/>
      <c r="G48" s="4"/>
      <c r="H48" s="2"/>
    </row>
    <row r="49" spans="1:8" x14ac:dyDescent="0.35">
      <c r="A49" s="12" t="s">
        <v>348</v>
      </c>
      <c r="B49" s="29" t="s">
        <v>909</v>
      </c>
      <c r="C49" s="1">
        <v>430</v>
      </c>
      <c r="D49" s="49"/>
      <c r="E49" s="4"/>
      <c r="F49" s="4"/>
      <c r="G49" s="4"/>
      <c r="H49" s="2"/>
    </row>
    <row r="50" spans="1:8" x14ac:dyDescent="0.35">
      <c r="A50" s="12" t="s">
        <v>350</v>
      </c>
      <c r="B50" s="29" t="s">
        <v>910</v>
      </c>
      <c r="C50" s="1">
        <v>440</v>
      </c>
      <c r="D50" s="49"/>
      <c r="E50" s="4"/>
      <c r="F50" s="4"/>
      <c r="G50" s="4"/>
      <c r="H50" s="2"/>
    </row>
    <row r="51" spans="1:8" x14ac:dyDescent="0.35">
      <c r="A51" s="12" t="s">
        <v>352</v>
      </c>
      <c r="B51" s="29" t="s">
        <v>911</v>
      </c>
      <c r="C51" s="1">
        <v>450</v>
      </c>
      <c r="D51" s="49"/>
      <c r="E51" s="4"/>
      <c r="F51" s="4"/>
      <c r="G51" s="4"/>
      <c r="H51" s="2"/>
    </row>
    <row r="52" spans="1:8" x14ac:dyDescent="0.35">
      <c r="A52" s="12" t="s">
        <v>354</v>
      </c>
      <c r="B52" s="29" t="s">
        <v>912</v>
      </c>
      <c r="C52" s="1">
        <v>460</v>
      </c>
      <c r="D52" s="49"/>
      <c r="E52" s="4"/>
      <c r="F52" s="4"/>
      <c r="G52" s="4"/>
      <c r="H52" s="2"/>
    </row>
    <row r="53" spans="1:8" x14ac:dyDescent="0.35">
      <c r="A53" s="12" t="s">
        <v>356</v>
      </c>
      <c r="B53" s="29" t="s">
        <v>913</v>
      </c>
      <c r="C53" s="1">
        <v>470</v>
      </c>
      <c r="D53" s="49"/>
      <c r="E53" s="4"/>
      <c r="F53" s="4"/>
      <c r="G53" s="4"/>
      <c r="H53" s="2"/>
    </row>
    <row r="54" spans="1:8" x14ac:dyDescent="0.35">
      <c r="A54" s="12" t="s">
        <v>358</v>
      </c>
      <c r="B54" s="29" t="s">
        <v>914</v>
      </c>
      <c r="C54" s="120">
        <v>480</v>
      </c>
      <c r="D54" s="50"/>
      <c r="E54" s="5"/>
      <c r="F54" s="5"/>
      <c r="G54" s="5"/>
      <c r="H54" s="3"/>
    </row>
    <row r="55" spans="1:8" x14ac:dyDescent="0.35">
      <c r="A55" s="367" t="s">
        <v>360</v>
      </c>
      <c r="B55" s="400"/>
      <c r="C55" s="296" t="s">
        <v>440</v>
      </c>
      <c r="D55" s="49"/>
      <c r="E55" s="4"/>
      <c r="F55" s="4"/>
      <c r="G55" s="4"/>
      <c r="H55" s="2"/>
    </row>
    <row r="56" spans="1:8" x14ac:dyDescent="0.35">
      <c r="A56" s="12" t="s">
        <v>382</v>
      </c>
      <c r="B56" s="29" t="s">
        <v>915</v>
      </c>
      <c r="C56" s="1">
        <v>350</v>
      </c>
      <c r="D56" s="49"/>
      <c r="E56" s="4"/>
      <c r="F56" s="4"/>
      <c r="G56" s="4"/>
      <c r="H56" s="2"/>
    </row>
    <row r="57" spans="1:8" x14ac:dyDescent="0.35">
      <c r="A57" s="12" t="s">
        <v>363</v>
      </c>
      <c r="B57" s="29" t="s">
        <v>916</v>
      </c>
      <c r="C57" s="1">
        <v>360</v>
      </c>
      <c r="D57" s="49"/>
      <c r="E57" s="4"/>
      <c r="F57" s="4"/>
      <c r="G57" s="4"/>
      <c r="H57" s="2"/>
    </row>
    <row r="58" spans="1:8" x14ac:dyDescent="0.35">
      <c r="A58" s="12" t="s">
        <v>383</v>
      </c>
      <c r="B58" s="29" t="s">
        <v>917</v>
      </c>
      <c r="C58" s="1">
        <v>370</v>
      </c>
      <c r="D58" s="49"/>
      <c r="E58" s="4"/>
      <c r="F58" s="4"/>
      <c r="G58" s="4"/>
      <c r="H58" s="2"/>
    </row>
    <row r="59" spans="1:8" x14ac:dyDescent="0.35">
      <c r="A59" s="12" t="s">
        <v>364</v>
      </c>
      <c r="B59" s="29" t="s">
        <v>918</v>
      </c>
      <c r="C59" s="1">
        <v>380</v>
      </c>
      <c r="D59" s="49"/>
      <c r="E59" s="4"/>
      <c r="F59" s="4"/>
      <c r="G59" s="4"/>
      <c r="H59" s="2"/>
    </row>
    <row r="60" spans="1:8" x14ac:dyDescent="0.35">
      <c r="A60" s="12" t="s">
        <v>384</v>
      </c>
      <c r="B60" s="29" t="s">
        <v>919</v>
      </c>
      <c r="C60" s="1">
        <v>390</v>
      </c>
      <c r="D60" s="49"/>
      <c r="E60" s="4"/>
      <c r="F60" s="4"/>
      <c r="G60" s="4"/>
      <c r="H60" s="2"/>
    </row>
    <row r="61" spans="1:8" x14ac:dyDescent="0.35">
      <c r="A61" s="12" t="s">
        <v>365</v>
      </c>
      <c r="B61" s="29" t="s">
        <v>920</v>
      </c>
      <c r="C61" s="1">
        <v>400</v>
      </c>
      <c r="D61" s="49"/>
      <c r="E61" s="4"/>
      <c r="F61" s="4"/>
      <c r="G61" s="4"/>
      <c r="H61" s="2"/>
    </row>
    <row r="62" spans="1:8" x14ac:dyDescent="0.35">
      <c r="A62" s="12" t="s">
        <v>385</v>
      </c>
      <c r="B62" s="29" t="s">
        <v>921</v>
      </c>
      <c r="C62" s="1">
        <v>410</v>
      </c>
      <c r="D62" s="49"/>
      <c r="E62" s="4"/>
      <c r="F62" s="4"/>
      <c r="G62" s="4"/>
      <c r="H62" s="2"/>
    </row>
    <row r="63" spans="1:8" x14ac:dyDescent="0.35">
      <c r="A63" s="12" t="s">
        <v>366</v>
      </c>
      <c r="B63" s="29" t="s">
        <v>922</v>
      </c>
      <c r="C63" s="1">
        <v>420</v>
      </c>
      <c r="D63" s="49"/>
      <c r="E63" s="4"/>
      <c r="F63" s="4"/>
      <c r="G63" s="4"/>
      <c r="H63" s="2"/>
    </row>
    <row r="64" spans="1:8" x14ac:dyDescent="0.35">
      <c r="A64" s="12" t="s">
        <v>387</v>
      </c>
      <c r="B64" s="29" t="s">
        <v>923</v>
      </c>
      <c r="C64" s="1">
        <v>430</v>
      </c>
      <c r="D64" s="49"/>
      <c r="E64" s="4"/>
      <c r="F64" s="4"/>
      <c r="G64" s="4"/>
      <c r="H64" s="2"/>
    </row>
    <row r="65" spans="1:8" x14ac:dyDescent="0.35">
      <c r="A65" s="12" t="s">
        <v>367</v>
      </c>
      <c r="B65" s="29" t="s">
        <v>924</v>
      </c>
      <c r="C65" s="1">
        <v>440</v>
      </c>
      <c r="D65" s="49"/>
      <c r="E65" s="4"/>
      <c r="F65" s="4"/>
      <c r="G65" s="4"/>
      <c r="H65" s="2"/>
    </row>
    <row r="66" spans="1:8" x14ac:dyDescent="0.35">
      <c r="A66" s="12" t="s">
        <v>390</v>
      </c>
      <c r="B66" s="29" t="s">
        <v>925</v>
      </c>
      <c r="C66" s="1">
        <v>450</v>
      </c>
      <c r="D66" s="49"/>
      <c r="E66" s="4"/>
      <c r="F66" s="4"/>
      <c r="G66" s="4"/>
      <c r="H66" s="2"/>
    </row>
    <row r="67" spans="1:8" x14ac:dyDescent="0.35">
      <c r="A67" s="12" t="s">
        <v>368</v>
      </c>
      <c r="B67" s="29" t="s">
        <v>926</v>
      </c>
      <c r="C67" s="1">
        <v>460</v>
      </c>
      <c r="D67" s="49"/>
      <c r="E67" s="4"/>
      <c r="F67" s="4"/>
      <c r="G67" s="4"/>
      <c r="H67" s="2"/>
    </row>
    <row r="68" spans="1:8" x14ac:dyDescent="0.35">
      <c r="A68" s="12" t="s">
        <v>392</v>
      </c>
      <c r="B68" s="29" t="s">
        <v>927</v>
      </c>
      <c r="C68" s="1">
        <v>470</v>
      </c>
      <c r="D68" s="49"/>
      <c r="E68" s="4"/>
      <c r="F68" s="4"/>
      <c r="G68" s="4"/>
      <c r="H68" s="2"/>
    </row>
    <row r="69" spans="1:8" x14ac:dyDescent="0.35">
      <c r="A69" s="12" t="s">
        <v>369</v>
      </c>
      <c r="B69" s="29" t="s">
        <v>928</v>
      </c>
      <c r="C69" s="1">
        <v>480</v>
      </c>
      <c r="D69" s="49"/>
      <c r="E69" s="4"/>
      <c r="F69" s="4"/>
      <c r="G69" s="4"/>
      <c r="H69" s="2"/>
    </row>
    <row r="70" spans="1:8" x14ac:dyDescent="0.35">
      <c r="A70" s="12" t="s">
        <v>396</v>
      </c>
      <c r="B70" s="29" t="s">
        <v>929</v>
      </c>
      <c r="C70" s="1">
        <v>490</v>
      </c>
      <c r="D70" s="49"/>
      <c r="E70" s="4"/>
      <c r="F70" s="4"/>
      <c r="G70" s="4"/>
      <c r="H70" s="2"/>
    </row>
    <row r="71" spans="1:8" x14ac:dyDescent="0.35">
      <c r="A71" s="12" t="s">
        <v>370</v>
      </c>
      <c r="B71" s="29" t="s">
        <v>930</v>
      </c>
      <c r="C71" s="1">
        <v>500</v>
      </c>
      <c r="D71" s="49"/>
      <c r="E71" s="4"/>
      <c r="F71" s="4"/>
      <c r="G71" s="4"/>
      <c r="H71" s="2"/>
    </row>
    <row r="72" spans="1:8" x14ac:dyDescent="0.35">
      <c r="A72" s="350" t="s">
        <v>467</v>
      </c>
      <c r="B72" s="351"/>
      <c r="C72" s="23" t="s">
        <v>480</v>
      </c>
      <c r="D72" s="210"/>
      <c r="E72" s="24"/>
      <c r="F72" s="24"/>
      <c r="G72" s="24"/>
      <c r="H72" s="7"/>
    </row>
    <row r="73" spans="1:8" x14ac:dyDescent="0.35">
      <c r="A73" s="29" t="s">
        <v>1019</v>
      </c>
      <c r="B73" s="29" t="s">
        <v>931</v>
      </c>
      <c r="C73" s="1">
        <f>10-5</f>
        <v>5</v>
      </c>
      <c r="D73" s="49"/>
      <c r="E73" s="4"/>
      <c r="F73" s="4"/>
      <c r="G73" s="4"/>
      <c r="H73" s="2"/>
    </row>
    <row r="74" spans="1:8" x14ac:dyDescent="0.35">
      <c r="A74" s="29" t="s">
        <v>1020</v>
      </c>
      <c r="B74" s="29" t="s">
        <v>932</v>
      </c>
      <c r="C74" s="1">
        <f>30-5</f>
        <v>25</v>
      </c>
      <c r="D74" s="49"/>
      <c r="E74" s="4"/>
      <c r="F74" s="4"/>
      <c r="G74" s="4"/>
      <c r="H74" s="2"/>
    </row>
    <row r="75" spans="1:8" x14ac:dyDescent="0.35">
      <c r="A75" s="29" t="s">
        <v>1021</v>
      </c>
      <c r="B75" s="29" t="s">
        <v>933</v>
      </c>
      <c r="C75" s="1">
        <f>30-5</f>
        <v>25</v>
      </c>
      <c r="D75" s="49"/>
      <c r="E75" s="4"/>
      <c r="F75" s="4"/>
      <c r="G75" s="4"/>
      <c r="H75" s="2"/>
    </row>
    <row r="76" spans="1:8" x14ac:dyDescent="0.35">
      <c r="A76" s="34" t="s">
        <v>1022</v>
      </c>
      <c r="B76" s="29" t="s">
        <v>934</v>
      </c>
      <c r="C76" s="120">
        <f>25-5</f>
        <v>20</v>
      </c>
      <c r="D76" s="50"/>
      <c r="E76" s="5"/>
      <c r="F76" s="5"/>
      <c r="G76" s="5"/>
      <c r="H76" s="3"/>
    </row>
    <row r="77" spans="1:8" x14ac:dyDescent="0.35">
      <c r="A77" s="350" t="s">
        <v>468</v>
      </c>
      <c r="B77" s="351"/>
      <c r="C77" s="30"/>
      <c r="D77" s="49"/>
      <c r="E77" s="4"/>
      <c r="F77" s="4"/>
      <c r="G77" s="4"/>
      <c r="H77" s="2"/>
    </row>
    <row r="78" spans="1:8" x14ac:dyDescent="0.35">
      <c r="A78" s="212" t="s">
        <v>743</v>
      </c>
      <c r="B78" s="29" t="s">
        <v>935</v>
      </c>
      <c r="C78" s="30">
        <v>74</v>
      </c>
      <c r="D78" s="49"/>
      <c r="E78" s="4"/>
      <c r="F78" s="4"/>
      <c r="G78" s="4"/>
      <c r="H78" s="2"/>
    </row>
    <row r="79" spans="1:8" x14ac:dyDescent="0.35">
      <c r="A79" s="212" t="s">
        <v>744</v>
      </c>
      <c r="B79" s="29" t="s">
        <v>936</v>
      </c>
      <c r="C79" s="30">
        <v>78</v>
      </c>
      <c r="D79" s="49"/>
      <c r="E79" s="4"/>
      <c r="F79" s="4"/>
      <c r="G79" s="4"/>
      <c r="H79" s="2"/>
    </row>
    <row r="80" spans="1:8" x14ac:dyDescent="0.35">
      <c r="A80" s="28" t="s">
        <v>618</v>
      </c>
      <c r="B80" s="29" t="s">
        <v>937</v>
      </c>
      <c r="C80" s="30">
        <v>82</v>
      </c>
      <c r="D80" s="49"/>
      <c r="E80" s="4"/>
      <c r="F80" s="4"/>
      <c r="G80" s="4"/>
      <c r="H80" s="2"/>
    </row>
    <row r="81" spans="1:9" x14ac:dyDescent="0.35">
      <c r="A81" s="212" t="s">
        <v>619</v>
      </c>
      <c r="B81" s="29" t="s">
        <v>938</v>
      </c>
      <c r="C81" s="30">
        <v>86</v>
      </c>
      <c r="D81" s="49"/>
      <c r="E81" s="4"/>
      <c r="F81" s="4"/>
      <c r="G81" s="4"/>
      <c r="H81" s="2"/>
    </row>
    <row r="82" spans="1:9" x14ac:dyDescent="0.35">
      <c r="A82" s="212" t="s">
        <v>620</v>
      </c>
      <c r="B82" s="29" t="s">
        <v>939</v>
      </c>
      <c r="C82" s="30">
        <v>90</v>
      </c>
      <c r="D82" s="49"/>
      <c r="E82" s="4"/>
      <c r="F82" s="4"/>
      <c r="G82" s="4"/>
      <c r="H82" s="2"/>
    </row>
    <row r="83" spans="1:9" x14ac:dyDescent="0.35">
      <c r="A83" s="350" t="s">
        <v>756</v>
      </c>
      <c r="B83" s="351"/>
      <c r="C83" s="23" t="s">
        <v>814</v>
      </c>
      <c r="D83" s="210" t="s">
        <v>1216</v>
      </c>
      <c r="E83" s="24">
        <v>80</v>
      </c>
      <c r="F83" s="24">
        <v>85</v>
      </c>
      <c r="G83" s="24">
        <v>90</v>
      </c>
      <c r="H83" s="24">
        <v>95</v>
      </c>
      <c r="I83" s="24">
        <v>100</v>
      </c>
    </row>
    <row r="84" spans="1:9" x14ac:dyDescent="0.35">
      <c r="A84" s="28" t="s">
        <v>1056</v>
      </c>
      <c r="B84" s="29" t="s">
        <v>940</v>
      </c>
      <c r="C84" s="1">
        <v>110</v>
      </c>
      <c r="D84" s="327"/>
      <c r="E84">
        <v>29.4</v>
      </c>
      <c r="F84">
        <v>13.4</v>
      </c>
      <c r="G84">
        <f>-3.6</f>
        <v>-3.6</v>
      </c>
      <c r="H84">
        <f>-15.5</f>
        <v>-15.5</v>
      </c>
      <c r="I84">
        <f>-16.4</f>
        <v>-16.399999999999999</v>
      </c>
    </row>
    <row r="85" spans="1:9" x14ac:dyDescent="0.35">
      <c r="A85" s="28" t="s">
        <v>1057</v>
      </c>
      <c r="B85" s="29" t="s">
        <v>941</v>
      </c>
      <c r="C85" s="1">
        <v>110</v>
      </c>
      <c r="D85" s="327"/>
      <c r="E85">
        <v>29.4</v>
      </c>
      <c r="F85">
        <v>13.4</v>
      </c>
      <c r="G85">
        <f>-3.6</f>
        <v>-3.6</v>
      </c>
      <c r="H85">
        <f>-15.5</f>
        <v>-15.5</v>
      </c>
      <c r="I85">
        <f>-16.4</f>
        <v>-16.399999999999999</v>
      </c>
    </row>
    <row r="86" spans="1:9" ht="18.649999999999999" customHeight="1" x14ac:dyDescent="0.35">
      <c r="A86" s="303" t="s">
        <v>1058</v>
      </c>
      <c r="B86" s="29" t="s">
        <v>942</v>
      </c>
      <c r="C86" s="120">
        <v>160</v>
      </c>
      <c r="D86" s="50"/>
      <c r="E86" s="5">
        <v>12.7</v>
      </c>
      <c r="F86" s="5">
        <f>-5</f>
        <v>-5</v>
      </c>
      <c r="G86" s="5">
        <f>-22.9</f>
        <v>-22.9</v>
      </c>
      <c r="H86" s="5">
        <f>-34.7</f>
        <v>-34.700000000000003</v>
      </c>
      <c r="I86" s="5">
        <f>-34.7</f>
        <v>-34.700000000000003</v>
      </c>
    </row>
    <row r="87" spans="1:9" x14ac:dyDescent="0.35">
      <c r="A87" s="350" t="s">
        <v>750</v>
      </c>
      <c r="B87" s="351"/>
      <c r="C87" s="30"/>
      <c r="D87" s="49"/>
      <c r="E87" s="4"/>
      <c r="F87" s="4"/>
      <c r="G87" s="4"/>
      <c r="H87" s="2"/>
    </row>
    <row r="88" spans="1:9" x14ac:dyDescent="0.35">
      <c r="A88" s="127" t="s">
        <v>1064</v>
      </c>
      <c r="B88" s="29" t="s">
        <v>943</v>
      </c>
      <c r="C88" s="30"/>
      <c r="D88" s="49"/>
      <c r="E88" s="4"/>
      <c r="F88" s="4"/>
      <c r="G88" s="4"/>
      <c r="H88" s="2"/>
    </row>
    <row r="89" spans="1:9" x14ac:dyDescent="0.35">
      <c r="A89" s="127" t="s">
        <v>1065</v>
      </c>
      <c r="B89" s="29" t="s">
        <v>944</v>
      </c>
      <c r="C89" s="30"/>
      <c r="D89" s="49"/>
      <c r="E89" s="4"/>
      <c r="F89" s="4"/>
      <c r="G89" s="4"/>
      <c r="H89" s="2"/>
    </row>
    <row r="90" spans="1:9" x14ac:dyDescent="0.35">
      <c r="A90" s="127" t="s">
        <v>1066</v>
      </c>
      <c r="B90" s="29" t="s">
        <v>945</v>
      </c>
      <c r="C90" s="30"/>
      <c r="D90" s="49"/>
      <c r="E90" s="4"/>
      <c r="F90" s="4"/>
      <c r="G90" s="4"/>
      <c r="H90" s="2"/>
    </row>
    <row r="91" spans="1:9" x14ac:dyDescent="0.35">
      <c r="A91" s="127" t="s">
        <v>1067</v>
      </c>
      <c r="B91" s="29" t="s">
        <v>946</v>
      </c>
      <c r="C91" s="30"/>
      <c r="D91" s="49"/>
      <c r="E91" s="4"/>
      <c r="F91" s="4"/>
      <c r="G91" s="4"/>
      <c r="H91" s="2"/>
    </row>
    <row r="92" spans="1:9" x14ac:dyDescent="0.35">
      <c r="A92" s="211" t="s">
        <v>1068</v>
      </c>
      <c r="B92" s="29" t="s">
        <v>947</v>
      </c>
      <c r="C92" s="30"/>
      <c r="D92" s="49"/>
      <c r="E92" s="4"/>
      <c r="F92" s="4"/>
      <c r="G92" s="4"/>
      <c r="H92" s="2"/>
    </row>
    <row r="93" spans="1:9" x14ac:dyDescent="0.35">
      <c r="A93" s="398" t="s">
        <v>45</v>
      </c>
      <c r="B93" s="399"/>
      <c r="C93" s="62" t="s">
        <v>97</v>
      </c>
      <c r="D93" s="75" t="s">
        <v>226</v>
      </c>
      <c r="E93" s="84" t="s">
        <v>227</v>
      </c>
      <c r="F93" s="24"/>
      <c r="G93" s="24"/>
      <c r="H93" s="7"/>
      <c r="I93" s="33"/>
    </row>
    <row r="94" spans="1:9" x14ac:dyDescent="0.35">
      <c r="A94" s="28" t="s">
        <v>46</v>
      </c>
      <c r="B94" s="29" t="s">
        <v>198</v>
      </c>
      <c r="C94" s="30">
        <v>1</v>
      </c>
      <c r="D94" s="76">
        <f>22.5*2</f>
        <v>45</v>
      </c>
      <c r="E94" s="4">
        <v>0</v>
      </c>
      <c r="F94" s="4"/>
      <c r="G94" s="4"/>
      <c r="H94" s="2"/>
      <c r="I94" s="18"/>
    </row>
    <row r="95" spans="1:9" x14ac:dyDescent="0.35">
      <c r="A95" s="28" t="s">
        <v>47</v>
      </c>
      <c r="B95" s="29" t="s">
        <v>197</v>
      </c>
      <c r="C95" s="30">
        <v>3</v>
      </c>
      <c r="D95" s="76">
        <f>22*2</f>
        <v>44</v>
      </c>
      <c r="E95" s="4">
        <v>26</v>
      </c>
      <c r="F95" s="4"/>
      <c r="G95" s="4"/>
      <c r="H95" s="2"/>
      <c r="I95" s="18"/>
    </row>
    <row r="96" spans="1:9" x14ac:dyDescent="0.35">
      <c r="A96" s="28" t="s">
        <v>81</v>
      </c>
      <c r="B96" s="29" t="s">
        <v>196</v>
      </c>
      <c r="C96" s="39">
        <v>6</v>
      </c>
      <c r="D96" s="77">
        <f>21.5*2</f>
        <v>43</v>
      </c>
      <c r="E96" s="5">
        <v>56</v>
      </c>
      <c r="F96" s="5"/>
      <c r="G96" s="5"/>
      <c r="H96" s="3"/>
      <c r="I96" s="18"/>
    </row>
    <row r="97" spans="1:8" x14ac:dyDescent="0.35">
      <c r="A97" s="367" t="s">
        <v>38</v>
      </c>
      <c r="B97" s="351"/>
      <c r="C97" s="43" t="s">
        <v>60</v>
      </c>
      <c r="D97" s="24"/>
      <c r="E97" s="24"/>
      <c r="F97" s="24"/>
      <c r="G97" s="24"/>
      <c r="H97" s="7"/>
    </row>
    <row r="98" spans="1:8" x14ac:dyDescent="0.35">
      <c r="A98" s="12" t="s">
        <v>1028</v>
      </c>
      <c r="B98" s="29" t="s">
        <v>211</v>
      </c>
      <c r="C98" s="30">
        <f>(53/2)*2</f>
        <v>53</v>
      </c>
      <c r="D98" s="49"/>
      <c r="E98" s="4"/>
      <c r="F98" s="4"/>
      <c r="G98" s="4"/>
      <c r="H98" s="2"/>
    </row>
    <row r="99" spans="1:8" x14ac:dyDescent="0.35">
      <c r="A99" s="12" t="s">
        <v>39</v>
      </c>
      <c r="B99" s="29" t="s">
        <v>212</v>
      </c>
      <c r="C99" s="30">
        <f>(53/2)*2</f>
        <v>53</v>
      </c>
      <c r="D99" s="49"/>
      <c r="E99" s="4"/>
      <c r="F99" s="4"/>
      <c r="G99" s="4"/>
      <c r="H99" s="2"/>
    </row>
    <row r="100" spans="1:8" x14ac:dyDescent="0.35">
      <c r="A100" s="12" t="s">
        <v>1029</v>
      </c>
      <c r="B100" s="29" t="s">
        <v>213</v>
      </c>
      <c r="C100" s="30">
        <f>(53/2)*2</f>
        <v>53</v>
      </c>
      <c r="D100" s="49"/>
      <c r="E100" s="4"/>
      <c r="F100" s="4"/>
      <c r="G100" s="4"/>
      <c r="H100" s="2"/>
    </row>
    <row r="101" spans="1:8" x14ac:dyDescent="0.35">
      <c r="A101" s="14" t="s">
        <v>40</v>
      </c>
      <c r="B101" s="34" t="s">
        <v>214</v>
      </c>
      <c r="C101" s="39">
        <v>62</v>
      </c>
      <c r="D101" s="50"/>
      <c r="E101" s="5"/>
      <c r="F101" s="5"/>
      <c r="G101" s="5"/>
      <c r="H101" s="3"/>
    </row>
    <row r="102" spans="1:8" x14ac:dyDescent="0.35">
      <c r="A102" s="350" t="s">
        <v>29</v>
      </c>
      <c r="B102" s="400"/>
      <c r="C102" s="43" t="s">
        <v>56</v>
      </c>
      <c r="D102" s="24"/>
      <c r="E102" s="24"/>
      <c r="F102" s="24"/>
      <c r="G102" s="24"/>
      <c r="H102" s="7"/>
    </row>
    <row r="103" spans="1:8" x14ac:dyDescent="0.35">
      <c r="A103" s="78" t="s">
        <v>31</v>
      </c>
      <c r="B103" s="79" t="s">
        <v>215</v>
      </c>
      <c r="C103" s="30">
        <v>609.6</v>
      </c>
      <c r="D103" s="51"/>
      <c r="E103" s="4"/>
      <c r="F103" s="4"/>
      <c r="G103" s="4"/>
      <c r="H103" s="2"/>
    </row>
    <row r="104" spans="1:8" x14ac:dyDescent="0.35">
      <c r="A104" s="80" t="s">
        <v>32</v>
      </c>
      <c r="B104" s="81" t="s">
        <v>216</v>
      </c>
      <c r="C104" s="30">
        <v>635</v>
      </c>
      <c r="D104" s="51"/>
      <c r="E104" s="4"/>
      <c r="F104" s="4"/>
      <c r="G104" s="4"/>
      <c r="H104" s="2"/>
    </row>
    <row r="105" spans="1:8" x14ac:dyDescent="0.35">
      <c r="A105" s="348" t="s">
        <v>75</v>
      </c>
      <c r="B105" s="402"/>
      <c r="C105" s="403" t="s">
        <v>77</v>
      </c>
      <c r="D105" s="375"/>
      <c r="E105" s="24"/>
      <c r="F105" s="24"/>
      <c r="G105" s="24"/>
      <c r="H105" s="7"/>
    </row>
    <row r="106" spans="1:8" x14ac:dyDescent="0.35">
      <c r="A106" s="28" t="s">
        <v>1030</v>
      </c>
      <c r="B106" s="29" t="s">
        <v>211</v>
      </c>
      <c r="C106" s="8">
        <v>86</v>
      </c>
      <c r="D106" s="51"/>
      <c r="E106" s="4"/>
      <c r="F106" s="4"/>
      <c r="G106" s="4"/>
      <c r="H106" s="2"/>
    </row>
    <row r="107" spans="1:8" x14ac:dyDescent="0.35">
      <c r="A107" s="12" t="s">
        <v>1031</v>
      </c>
      <c r="B107" s="29" t="s">
        <v>217</v>
      </c>
      <c r="C107" s="8">
        <v>94</v>
      </c>
      <c r="D107" s="51"/>
      <c r="E107" s="4"/>
      <c r="F107" s="4"/>
      <c r="G107" s="4"/>
      <c r="H107" s="2"/>
    </row>
    <row r="108" spans="1:8" x14ac:dyDescent="0.35">
      <c r="A108" s="12" t="s">
        <v>1032</v>
      </c>
      <c r="B108" s="29" t="s">
        <v>218</v>
      </c>
      <c r="C108" s="8">
        <f>45*2</f>
        <v>90</v>
      </c>
      <c r="D108" s="51"/>
      <c r="E108" s="4"/>
      <c r="F108" s="4"/>
      <c r="G108" s="4"/>
      <c r="H108" s="2"/>
    </row>
    <row r="109" spans="1:8" x14ac:dyDescent="0.35">
      <c r="A109" s="12" t="s">
        <v>813</v>
      </c>
      <c r="B109" s="29" t="s">
        <v>219</v>
      </c>
      <c r="C109" s="8">
        <f>45*2</f>
        <v>90</v>
      </c>
      <c r="D109" s="51"/>
      <c r="E109" s="4"/>
      <c r="F109" s="4"/>
      <c r="G109" s="4"/>
      <c r="H109" s="2"/>
    </row>
    <row r="110" spans="1:8" x14ac:dyDescent="0.35">
      <c r="A110" s="12" t="s">
        <v>73</v>
      </c>
      <c r="B110" s="29" t="s">
        <v>220</v>
      </c>
      <c r="C110" s="8">
        <v>94</v>
      </c>
      <c r="D110" s="51"/>
      <c r="E110" s="4"/>
      <c r="F110" s="4"/>
      <c r="G110" s="4"/>
      <c r="H110" s="2"/>
    </row>
    <row r="111" spans="1:8" x14ac:dyDescent="0.35">
      <c r="A111" s="12" t="s">
        <v>74</v>
      </c>
      <c r="B111" s="29" t="s">
        <v>221</v>
      </c>
      <c r="C111" s="8">
        <v>84</v>
      </c>
      <c r="D111" s="51"/>
      <c r="E111" s="4"/>
      <c r="F111" s="4"/>
      <c r="G111" s="4"/>
      <c r="H111" s="2"/>
    </row>
    <row r="112" spans="1:8" x14ac:dyDescent="0.35">
      <c r="A112" s="12" t="s">
        <v>72</v>
      </c>
      <c r="B112" s="29" t="s">
        <v>222</v>
      </c>
      <c r="C112" s="8">
        <v>92</v>
      </c>
      <c r="D112" s="51"/>
      <c r="E112" s="4"/>
      <c r="F112" s="4"/>
      <c r="G112" s="4"/>
      <c r="H112" s="2"/>
    </row>
    <row r="113" spans="1:8" x14ac:dyDescent="0.35">
      <c r="A113" s="12" t="s">
        <v>71</v>
      </c>
      <c r="B113" s="29" t="s">
        <v>223</v>
      </c>
      <c r="C113" s="8">
        <f>48*2</f>
        <v>96</v>
      </c>
      <c r="D113" s="51"/>
      <c r="E113" s="4"/>
      <c r="F113" s="4"/>
      <c r="G113" s="4"/>
      <c r="H113" s="2"/>
    </row>
    <row r="114" spans="1:8" x14ac:dyDescent="0.35">
      <c r="A114" s="12" t="s">
        <v>1033</v>
      </c>
      <c r="B114" s="29" t="s">
        <v>224</v>
      </c>
      <c r="C114" s="8">
        <f>45*2</f>
        <v>90</v>
      </c>
      <c r="D114" s="51"/>
      <c r="E114" s="4"/>
      <c r="F114" s="4"/>
      <c r="G114" s="4"/>
      <c r="H114" s="2"/>
    </row>
    <row r="115" spans="1:8" ht="15" thickBot="1" x14ac:dyDescent="0.4">
      <c r="A115" s="16" t="s">
        <v>1034</v>
      </c>
      <c r="B115" s="35" t="s">
        <v>225</v>
      </c>
      <c r="C115" s="10">
        <f>45*2</f>
        <v>90</v>
      </c>
      <c r="D115" s="52"/>
      <c r="E115" s="5"/>
      <c r="F115" s="5"/>
      <c r="G115" s="5"/>
      <c r="H115" s="3"/>
    </row>
    <row r="118" spans="1:8" x14ac:dyDescent="0.35">
      <c r="A118" s="8"/>
      <c r="B118" s="65"/>
      <c r="C118" s="65"/>
      <c r="D118" s="8"/>
    </row>
    <row r="119" spans="1:8" x14ac:dyDescent="0.35">
      <c r="A119" s="8"/>
      <c r="B119" s="8"/>
      <c r="C119" s="8"/>
      <c r="D119" s="8"/>
    </row>
    <row r="120" spans="1:8" x14ac:dyDescent="0.35">
      <c r="A120" s="8"/>
      <c r="B120" s="44"/>
      <c r="C120" s="44"/>
      <c r="D120" s="45"/>
    </row>
    <row r="121" spans="1:8" x14ac:dyDescent="0.35">
      <c r="A121" s="8"/>
      <c r="B121" s="44"/>
      <c r="C121" s="44"/>
      <c r="D121" s="45"/>
    </row>
    <row r="122" spans="1:8" x14ac:dyDescent="0.35">
      <c r="A122" s="8"/>
      <c r="B122" s="44"/>
      <c r="C122" s="44"/>
      <c r="D122" s="45"/>
    </row>
    <row r="123" spans="1:8" x14ac:dyDescent="0.35">
      <c r="A123" s="11"/>
      <c r="B123" s="8"/>
      <c r="C123" s="8"/>
      <c r="D123" s="8"/>
    </row>
    <row r="124" spans="1:8" x14ac:dyDescent="0.35">
      <c r="A124" s="8"/>
      <c r="B124" s="8"/>
      <c r="C124" s="8"/>
      <c r="D124" s="8"/>
    </row>
    <row r="125" spans="1:8" x14ac:dyDescent="0.35">
      <c r="A125" s="65"/>
      <c r="B125" s="65"/>
      <c r="C125" s="65"/>
      <c r="D125" s="8"/>
    </row>
    <row r="126" spans="1:8" x14ac:dyDescent="0.35">
      <c r="A126" s="8"/>
      <c r="B126" s="8"/>
      <c r="C126" s="8"/>
      <c r="D126" s="8"/>
    </row>
    <row r="127" spans="1:8" x14ac:dyDescent="0.35">
      <c r="A127" s="8"/>
      <c r="B127" s="8"/>
      <c r="C127" s="8"/>
      <c r="D127" s="8"/>
    </row>
    <row r="128" spans="1:8" x14ac:dyDescent="0.35">
      <c r="A128" s="8"/>
      <c r="B128" s="8"/>
      <c r="C128" s="8"/>
      <c r="D128" s="8"/>
    </row>
    <row r="129" spans="1:4" x14ac:dyDescent="0.35">
      <c r="A129" s="8"/>
      <c r="B129" s="8"/>
      <c r="C129" s="8"/>
      <c r="D129" s="8"/>
    </row>
    <row r="130" spans="1:4" x14ac:dyDescent="0.35">
      <c r="A130" s="8"/>
      <c r="B130" s="8"/>
      <c r="C130" s="8"/>
      <c r="D130" s="8"/>
    </row>
    <row r="133" spans="1:4" x14ac:dyDescent="0.35">
      <c r="A133" s="4"/>
      <c r="B133" s="4"/>
      <c r="C133" s="4"/>
    </row>
    <row r="134" spans="1:4" x14ac:dyDescent="0.35">
      <c r="A134" s="4"/>
      <c r="B134" s="4"/>
      <c r="C134" s="4"/>
    </row>
  </sheetData>
  <mergeCells count="20">
    <mergeCell ref="A105:B105"/>
    <mergeCell ref="C105:D105"/>
    <mergeCell ref="A3:B3"/>
    <mergeCell ref="C3:H3"/>
    <mergeCell ref="A10:B10"/>
    <mergeCell ref="A7:B7"/>
    <mergeCell ref="S11:Y13"/>
    <mergeCell ref="A93:B93"/>
    <mergeCell ref="A4:B4"/>
    <mergeCell ref="A97:B97"/>
    <mergeCell ref="A102:B102"/>
    <mergeCell ref="A17:B17"/>
    <mergeCell ref="A23:B23"/>
    <mergeCell ref="A35:B35"/>
    <mergeCell ref="A45:B45"/>
    <mergeCell ref="A55:B55"/>
    <mergeCell ref="A72:B72"/>
    <mergeCell ref="A77:B77"/>
    <mergeCell ref="A83:B83"/>
    <mergeCell ref="A87:B87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5 E X m U j o R / y 2 k A A A A 9 Q A A A B I A H A B D b 2 5 m a W c v U G F j a 2 F n Z S 5 4 b W w g o h g A K K A U A A A A A A A A A A A A A A A A A A A A A A A A A A A A h Y + x D o I w G I R f h X S n L e h A y E 8 Z T J w k M Z o Y 1 6 Y U a I R i 2 m J 5 N w c f y V c Q o 6 i b 4 9 1 3 l 9 z d r z f I x 6 4 N L t J Y 1 e s M R Z i i Q G r R l 0 r X G R p c F S Y o Z 7 D l 4 s R r G U x h b d P R q g w 1 z p 1 T Q r z 3 2 C 9 w b 2 o S U x q R Y 7 H Z i 0 Z 2 P F T a O q 6 F R J 9 W + b + F G B x e Y 1 i M k y V O 6 D Q J y O x B o f S X x x N 7 0 h 8 T V k P r B i N Z Z c L 1 D s g s g b w v s A d Q S w M E F A A C A A g A 5 E X m U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R F 5 l I o i k e 4 D g A A A B E A A A A T A B w A R m 9 y b X V s Y X M v U 2 V j d G l v b j E u b S C i G A A o o B Q A A A A A A A A A A A A A A A A A A A A A A A A A A A A r T k 0 u y c z P U w i G 0 I b W A F B L A Q I t A B Q A A g A I A O R F 5 l I 6 E f 8 t p A A A A P U A A A A S A A A A A A A A A A A A A A A A A A A A A A B D b 2 5 m a W c v U G F j a 2 F n Z S 5 4 b W x Q S w E C L Q A U A A I A C A D k R e Z S D 8 r p q 6 Q A A A D p A A A A E w A A A A A A A A A A A A A A A A D w A A A A W 0 N v b n R l b n R f V H l w Z X N d L n h t b F B L A Q I t A B Q A A g A I A O R F 5 l I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C p b L L O X D T R 5 K 9 v m g I o Y y F A A A A A A I A A A A A A A N m A A D A A A A A E A A A A C 4 d 9 l x v 3 l 7 3 9 d S L L G F E d x g A A A A A B I A A A K A A A A A Q A A A A M A X C 1 P k N R g p 0 5 q 3 7 6 8 8 G 8 l A A A A A q t w Y a m J O n L R p X P c V h V D 2 B L 8 6 X Q j w c S V 3 O O F H a M Y W z R s H 1 9 y E w U s P i a g b 3 u 0 M J h c n n n l W 0 A / s 3 3 o j F 8 D z y f O k e A N S i w M B 1 H Z u j I c O A 6 G R U 8 h Q A A A C z U i 8 m Z L Y f 9 4 Y P a K X r 9 u o u T v 8 E r Q = = < / D a t a M a s h u p > 
</file>

<file path=customXml/itemProps1.xml><?xml version="1.0" encoding="utf-8"?>
<ds:datastoreItem xmlns:ds="http://schemas.openxmlformats.org/officeDocument/2006/customXml" ds:itemID="{EBBD91D6-F52F-4723-A6B6-A7C1FDD675B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Compact 2.0</vt:lpstr>
      <vt:lpstr>Values Compact</vt:lpstr>
      <vt:lpstr>Champion 2.0 </vt:lpstr>
      <vt:lpstr>Values Champion</vt:lpstr>
      <vt:lpstr>K-Series 2.0</vt:lpstr>
      <vt:lpstr>The KSL 2.0</vt:lpstr>
      <vt:lpstr>Values K-Series</vt:lpstr>
      <vt:lpstr>KT Champion</vt:lpstr>
      <vt:lpstr>Values KSL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Damien Cabal</dc:creator>
  <cp:lastModifiedBy>Mathilde Michaux</cp:lastModifiedBy>
  <dcterms:created xsi:type="dcterms:W3CDTF">2020-12-02T08:26:23Z</dcterms:created>
  <dcterms:modified xsi:type="dcterms:W3CDTF">2022-08-09T14:59:29Z</dcterms:modified>
</cp:coreProperties>
</file>